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/>
  <mc:AlternateContent xmlns:mc="http://schemas.openxmlformats.org/markup-compatibility/2006">
    <mc:Choice Requires="x15">
      <x15ac:absPath xmlns:x15ac="http://schemas.microsoft.com/office/spreadsheetml/2010/11/ac" url="https://d.docs.live.net/bc3fcc4ce552949a/Blog posts/"/>
    </mc:Choice>
  </mc:AlternateContent>
  <xr:revisionPtr revIDLastSave="37" documentId="8_{14EC6DE2-9D2C-4AA7-B595-09BD5A38FCBB}" xr6:coauthVersionLast="47" xr6:coauthVersionMax="47" xr10:uidLastSave="{ECFB618B-64D7-44F6-A1B0-BC3DBBDDEB9F}"/>
  <bookViews>
    <workbookView xWindow="-120" yWindow="-120" windowWidth="20640" windowHeight="11160" xr2:uid="{00000000-000D-0000-FFFF-FFFF00000000}"/>
  </bookViews>
  <sheets>
    <sheet name="Scenario &amp; assumptions" sheetId="7" r:id="rId1"/>
    <sheet name="Grumpus Maximus" sheetId="6" r:id="rId2"/>
    <sheet name="Net Present Value" sheetId="2" r:id="rId3"/>
    <sheet name="ActuaryFire" sheetId="3" r:id="rId4"/>
    <sheet name="Financial Samurai" sheetId="5" r:id="rId5"/>
    <sheet name="4% Rule vs Pension Buyout" sheetId="1" r:id="rId6"/>
    <sheet name="Data" sheetId="4" state="hidden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6" l="1"/>
  <c r="C22" i="6"/>
  <c r="G7" i="1"/>
  <c r="C6" i="6" l="1"/>
  <c r="C5" i="6"/>
  <c r="C8" i="6"/>
  <c r="C9" i="6"/>
  <c r="C6" i="3"/>
  <c r="C5" i="3"/>
  <c r="C2" i="3"/>
  <c r="C14" i="3" s="1"/>
  <c r="C9" i="3"/>
  <c r="C7" i="3"/>
  <c r="C13" i="3" s="1"/>
  <c r="C19" i="6"/>
  <c r="C18" i="6"/>
  <c r="C16" i="6"/>
  <c r="C17" i="6"/>
  <c r="C21" i="6"/>
  <c r="C20" i="6"/>
  <c r="D4" i="7"/>
  <c r="C2" i="6" s="1"/>
  <c r="C3" i="6" s="1"/>
  <c r="G5" i="6"/>
  <c r="G7" i="6"/>
  <c r="C4" i="6"/>
  <c r="C5" i="5"/>
  <c r="C4" i="5"/>
  <c r="C8" i="3"/>
  <c r="C9" i="2"/>
  <c r="C6" i="2"/>
  <c r="C5" i="2"/>
  <c r="C4" i="2"/>
  <c r="C8" i="2" s="1"/>
  <c r="G6" i="1"/>
  <c r="G3" i="1"/>
  <c r="C3" i="1"/>
  <c r="D13" i="3"/>
  <c r="E13" i="3" s="1"/>
  <c r="F13" i="3" s="1"/>
  <c r="G13" i="3" s="1"/>
  <c r="H13" i="3" s="1"/>
  <c r="I13" i="3" s="1"/>
  <c r="J13" i="3" s="1"/>
  <c r="K13" i="3" s="1"/>
  <c r="L13" i="3" s="1"/>
  <c r="M13" i="3" s="1"/>
  <c r="N13" i="3" s="1"/>
  <c r="O13" i="3" s="1"/>
  <c r="P13" i="3" s="1"/>
  <c r="Q13" i="3" s="1"/>
  <c r="R13" i="3" s="1"/>
  <c r="S13" i="3" s="1"/>
  <c r="T13" i="3" s="1"/>
  <c r="U13" i="3" s="1"/>
  <c r="V13" i="3" s="1"/>
  <c r="W13" i="3" s="1"/>
  <c r="X13" i="3" s="1"/>
  <c r="Y13" i="3" s="1"/>
  <c r="Z13" i="3" s="1"/>
  <c r="AA13" i="3" s="1"/>
  <c r="AB13" i="3" s="1"/>
  <c r="AC13" i="3" s="1"/>
  <c r="AD13" i="3" s="1"/>
  <c r="AE13" i="3" s="1"/>
  <c r="AF13" i="3" s="1"/>
  <c r="AG13" i="3" s="1"/>
  <c r="AH13" i="3" s="1"/>
  <c r="AI13" i="3" s="1"/>
  <c r="AJ13" i="3" s="1"/>
  <c r="AK13" i="3" s="1"/>
  <c r="AL13" i="3" s="1"/>
  <c r="AM13" i="3" s="1"/>
  <c r="AN13" i="3" s="1"/>
  <c r="AO13" i="3" s="1"/>
  <c r="AP13" i="3" s="1"/>
  <c r="AQ13" i="3" s="1"/>
  <c r="AR13" i="3" s="1"/>
  <c r="AS13" i="3" s="1"/>
  <c r="AT13" i="3" s="1"/>
  <c r="AU13" i="3" s="1"/>
  <c r="AV13" i="3" s="1"/>
  <c r="AW13" i="3" s="1"/>
  <c r="C7" i="2" l="1"/>
  <c r="C7" i="6"/>
  <c r="D14" i="3"/>
  <c r="E14" i="3" s="1"/>
  <c r="F14" i="3" s="1"/>
  <c r="G14" i="3" s="1"/>
  <c r="H14" i="3" s="1"/>
  <c r="I14" i="3" s="1"/>
  <c r="J14" i="3" s="1"/>
  <c r="K14" i="3" s="1"/>
  <c r="L14" i="3" s="1"/>
  <c r="M14" i="3" s="1"/>
  <c r="N14" i="3" s="1"/>
  <c r="O14" i="3" s="1"/>
  <c r="P14" i="3" s="1"/>
  <c r="Q14" i="3" s="1"/>
  <c r="R14" i="3" s="1"/>
  <c r="S14" i="3" s="1"/>
  <c r="T14" i="3" s="1"/>
  <c r="U14" i="3" s="1"/>
  <c r="V14" i="3" s="1"/>
  <c r="W14" i="3" s="1"/>
  <c r="X14" i="3" s="1"/>
  <c r="Y14" i="3" s="1"/>
  <c r="Z14" i="3" s="1"/>
  <c r="AA14" i="3" s="1"/>
  <c r="AB14" i="3" s="1"/>
  <c r="AC14" i="3" s="1"/>
  <c r="AD14" i="3" s="1"/>
  <c r="AE14" i="3" s="1"/>
  <c r="AF14" i="3" s="1"/>
  <c r="AG14" i="3" s="1"/>
  <c r="AH14" i="3" s="1"/>
  <c r="AI14" i="3" s="1"/>
  <c r="AJ14" i="3" s="1"/>
  <c r="AK14" i="3" s="1"/>
  <c r="AL14" i="3" s="1"/>
  <c r="AM14" i="3" s="1"/>
  <c r="AN14" i="3" s="1"/>
  <c r="AO14" i="3" s="1"/>
  <c r="AP14" i="3" s="1"/>
  <c r="AQ14" i="3" s="1"/>
  <c r="AR14" i="3" s="1"/>
  <c r="AS14" i="3" s="1"/>
  <c r="AT14" i="3" s="1"/>
  <c r="AU14" i="3" s="1"/>
  <c r="AV14" i="3" s="1"/>
  <c r="AW14" i="3" s="1"/>
  <c r="C4" i="1"/>
  <c r="C5" i="1" s="1"/>
  <c r="C6" i="1" s="1"/>
  <c r="C7" i="1" s="1"/>
  <c r="C8" i="1" s="1"/>
  <c r="C2" i="5"/>
  <c r="C3" i="5" s="1"/>
  <c r="C7" i="5" s="1"/>
  <c r="D22" i="7" s="1"/>
  <c r="C10" i="6"/>
  <c r="C24" i="6"/>
  <c r="C2" i="2"/>
  <c r="C3" i="2" s="1"/>
  <c r="C10" i="2" s="1"/>
  <c r="C12" i="2" s="1"/>
  <c r="D20" i="7" s="1"/>
  <c r="C3" i="3"/>
  <c r="C4" i="3" s="1"/>
  <c r="D15" i="3" s="1"/>
  <c r="G4" i="1"/>
  <c r="G5" i="1" s="1"/>
  <c r="G9" i="1" s="1"/>
  <c r="C12" i="6" l="1"/>
  <c r="D19" i="7" s="1"/>
  <c r="C25" i="6"/>
  <c r="C29" i="6" s="1"/>
  <c r="C9" i="1"/>
  <c r="C26" i="6"/>
  <c r="D3" i="1"/>
  <c r="D4" i="1" s="1"/>
  <c r="D5" i="1" s="1"/>
  <c r="D6" i="1" s="1"/>
  <c r="D7" i="1" s="1"/>
  <c r="D8" i="1" s="1"/>
  <c r="D23" i="7"/>
  <c r="E15" i="3"/>
  <c r="F15" i="3" s="1"/>
  <c r="G15" i="3" s="1"/>
  <c r="H15" i="3" s="1"/>
  <c r="I15" i="3" s="1"/>
  <c r="J15" i="3" s="1"/>
  <c r="K15" i="3" s="1"/>
  <c r="L15" i="3" s="1"/>
  <c r="M15" i="3" s="1"/>
  <c r="N15" i="3" s="1"/>
  <c r="O15" i="3" s="1"/>
  <c r="P15" i="3" s="1"/>
  <c r="Q15" i="3" s="1"/>
  <c r="R15" i="3" s="1"/>
  <c r="S15" i="3" s="1"/>
  <c r="T15" i="3" s="1"/>
  <c r="U15" i="3" s="1"/>
  <c r="V15" i="3" s="1"/>
  <c r="W15" i="3" s="1"/>
  <c r="X15" i="3" s="1"/>
  <c r="Y15" i="3" s="1"/>
  <c r="Z15" i="3" s="1"/>
  <c r="AA15" i="3" s="1"/>
  <c r="AB15" i="3" s="1"/>
  <c r="AC15" i="3" s="1"/>
  <c r="AD15" i="3" s="1"/>
  <c r="AE15" i="3" s="1"/>
  <c r="AF15" i="3" s="1"/>
  <c r="AG15" i="3" s="1"/>
  <c r="AH15" i="3" s="1"/>
  <c r="AI15" i="3" s="1"/>
  <c r="AJ15" i="3" s="1"/>
  <c r="AK15" i="3" s="1"/>
  <c r="AL15" i="3" s="1"/>
  <c r="AM15" i="3" s="1"/>
  <c r="AN15" i="3" s="1"/>
  <c r="AO15" i="3" s="1"/>
  <c r="AP15" i="3" s="1"/>
  <c r="AQ15" i="3" s="1"/>
  <c r="AR15" i="3" s="1"/>
  <c r="AS15" i="3" s="1"/>
  <c r="AT15" i="3" s="1"/>
  <c r="AU15" i="3" s="1"/>
  <c r="AV15" i="3" s="1"/>
  <c r="AW15" i="3" s="1"/>
  <c r="G2" i="6" l="1"/>
  <c r="G4" i="6" s="1"/>
  <c r="G6" i="6" s="1"/>
  <c r="G8" i="6" s="1"/>
  <c r="G10" i="6" s="1"/>
  <c r="D9" i="1"/>
  <c r="C10" i="1"/>
  <c r="C11" i="3"/>
  <c r="D21" i="7" s="1"/>
  <c r="D10" i="1" l="1"/>
  <c r="C11" i="1"/>
  <c r="D11" i="1" l="1"/>
  <c r="C12" i="1"/>
  <c r="D12" i="1" l="1"/>
  <c r="C13" i="1"/>
  <c r="D13" i="1" l="1"/>
  <c r="C14" i="1"/>
  <c r="D14" i="1" l="1"/>
  <c r="C15" i="1"/>
  <c r="D15" i="1" l="1"/>
  <c r="C16" i="1"/>
  <c r="D16" i="1" l="1"/>
  <c r="C17" i="1"/>
  <c r="D17" i="1" l="1"/>
  <c r="C18" i="1"/>
  <c r="D18" i="1" l="1"/>
  <c r="C19" i="1"/>
  <c r="D19" i="1" l="1"/>
  <c r="C20" i="1"/>
  <c r="D20" i="1" l="1"/>
  <c r="C21" i="1"/>
  <c r="D21" i="1" l="1"/>
  <c r="C22" i="1"/>
  <c r="D22" i="1" l="1"/>
  <c r="C23" i="1"/>
  <c r="D23" i="1" l="1"/>
  <c r="C24" i="1"/>
  <c r="D24" i="1" l="1"/>
  <c r="C25" i="1"/>
  <c r="D25" i="1" l="1"/>
  <c r="C26" i="1"/>
  <c r="D26" i="1" l="1"/>
  <c r="C27" i="1"/>
  <c r="D27" i="1" l="1"/>
  <c r="C28" i="1"/>
  <c r="D28" i="1" l="1"/>
  <c r="C29" i="1"/>
  <c r="D29" i="1" l="1"/>
  <c r="C30" i="1"/>
  <c r="D30" i="1" l="1"/>
  <c r="C31" i="1"/>
  <c r="D31" i="1" l="1"/>
  <c r="C32" i="1"/>
  <c r="D32" i="1" l="1"/>
  <c r="C33" i="1"/>
  <c r="D33" i="1" l="1"/>
  <c r="C34" i="1"/>
  <c r="D34" i="1" l="1"/>
  <c r="C35" i="1"/>
  <c r="D35" i="1" l="1"/>
  <c r="C36" i="1"/>
  <c r="D36" i="1" l="1"/>
  <c r="C37" i="1"/>
  <c r="D37" i="1" l="1"/>
  <c r="C38" i="1"/>
  <c r="D38" i="1" l="1"/>
  <c r="C39" i="1"/>
  <c r="D39" i="1" l="1"/>
  <c r="C40" i="1"/>
  <c r="D40" i="1" l="1"/>
  <c r="C41" i="1"/>
  <c r="D41" i="1" l="1"/>
  <c r="C42" i="1"/>
  <c r="D42" i="1" l="1"/>
  <c r="C43" i="1"/>
  <c r="D43" i="1" l="1"/>
  <c r="C44" i="1"/>
  <c r="D44" i="1" l="1"/>
  <c r="C45" i="1"/>
  <c r="D45" i="1" l="1"/>
  <c r="C46" i="1"/>
  <c r="D46" i="1" l="1"/>
  <c r="C47" i="1"/>
  <c r="D47" i="1" l="1"/>
  <c r="C48" i="1"/>
  <c r="D48" i="1" l="1"/>
  <c r="C49" i="1"/>
  <c r="D49" i="1" l="1"/>
  <c r="C50" i="1"/>
  <c r="D50" i="1" l="1"/>
  <c r="C51" i="1"/>
  <c r="D51" i="1" l="1"/>
  <c r="C52" i="1"/>
  <c r="D52" i="1" l="1"/>
  <c r="C53" i="1"/>
  <c r="D53" i="1" l="1"/>
  <c r="C54" i="1"/>
  <c r="C55" i="1" l="1"/>
  <c r="D54" i="1"/>
  <c r="D55" i="1" l="1"/>
</calcChain>
</file>

<file path=xl/sharedStrings.xml><?xml version="1.0" encoding="utf-8"?>
<sst xmlns="http://schemas.openxmlformats.org/spreadsheetml/2006/main" count="155" uniqueCount="137">
  <si>
    <t>Monthly Benefit</t>
  </si>
  <si>
    <t>Current Age</t>
  </si>
  <si>
    <t>Age</t>
  </si>
  <si>
    <t>Assumptions</t>
  </si>
  <si>
    <t>Expected market return</t>
  </si>
  <si>
    <t>Monthly</t>
  </si>
  <si>
    <t>PMT (Annual)</t>
  </si>
  <si>
    <t>Retirement Age</t>
  </si>
  <si>
    <t>Estimate Death</t>
  </si>
  <si>
    <t>Years of Retirement (N)</t>
  </si>
  <si>
    <t>Years to retirement</t>
  </si>
  <si>
    <t>Pension Return Rate</t>
  </si>
  <si>
    <t>Cash Flow Net Value at Retirement</t>
  </si>
  <si>
    <t>Net Present Value</t>
  </si>
  <si>
    <t>https://finance.zacks.com/calculate-net-present-value-future-pension-9929.html</t>
  </si>
  <si>
    <t>https://www.actuaryonfire.com/valuing-a-pension-actuary-style/</t>
  </si>
  <si>
    <t>Date</t>
  </si>
  <si>
    <t>Annual Pension</t>
  </si>
  <si>
    <t>Annual Benefit</t>
  </si>
  <si>
    <t>Estimated COLA Increase</t>
  </si>
  <si>
    <t>(leave 0 if no COLA)</t>
  </si>
  <si>
    <t>Estimated Life Expectancy</t>
  </si>
  <si>
    <t>Estimated Value</t>
  </si>
  <si>
    <t>Benefit Beginning Age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</si>
  <si>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</si>
  <si>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</si>
  <si>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</si>
  <si>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</si>
  <si>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</si>
  <si>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</si>
  <si>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</si>
  <si>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</si>
  <si>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</si>
  <si>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</si>
  <si>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</si>
  <si>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</si>
  <si>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</si>
  <si>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</si>
  <si>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</si>
  <si>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</si>
  <si>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</si>
  <si>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</si>
  <si>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</si>
  <si>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</si>
  <si>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</si>
  <si>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</si>
  <si>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</si>
  <si>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</si>
  <si>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</si>
  <si>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</si>
  <si>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</si>
  <si>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</si>
  <si>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</si>
  <si>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</si>
  <si>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</si>
  <si>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</si>
  <si>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</si>
  <si>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</si>
  <si>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</si>
  <si>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</si>
  <si>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</si>
  <si>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</si>
  <si>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</si>
  <si>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</si>
  <si>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</si>
  <si>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</si>
  <si>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</si>
  <si>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</si>
  <si>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</si>
  <si>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</si>
  <si>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</si>
  <si>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</si>
  <si>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</si>
  <si>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</si>
  <si>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</si>
  <si>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</si>
  <si>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Todays Date</t>
  </si>
  <si>
    <t>Interest Rate</t>
  </si>
  <si>
    <t>Monthly Pension Benefit</t>
  </si>
  <si>
    <t>Annual Pension Benefit</t>
  </si>
  <si>
    <t>% Probablity of pension being paid until death</t>
  </si>
  <si>
    <t>Value of Pension</t>
  </si>
  <si>
    <t>Pension Payout Beginning Age</t>
  </si>
  <si>
    <t>Life Expectancy</t>
  </si>
  <si>
    <t>Estimated Inflation</t>
  </si>
  <si>
    <t>Needed Value</t>
  </si>
  <si>
    <t>Age to begin receiving pension</t>
  </si>
  <si>
    <t>Scenario and Assumptions</t>
  </si>
  <si>
    <t>(leave 0% if no COLA)</t>
  </si>
  <si>
    <t>Estimated Future Inflation</t>
  </si>
  <si>
    <t>Actuary Pension Value</t>
  </si>
  <si>
    <t>FI Samuri Pension Value</t>
  </si>
  <si>
    <t>Grumpus Maximus TDV of Pension</t>
  </si>
  <si>
    <t>Zacks Net Present Value</t>
  </si>
  <si>
    <t>FIRE cut off for lump sum offer</t>
  </si>
  <si>
    <t>Probablity of pension being paid until death</t>
  </si>
  <si>
    <t>or Annual</t>
  </si>
  <si>
    <t xml:space="preserve">TDV of Pension </t>
  </si>
  <si>
    <t>Total value of Other Post-Retirement Benefits (OPRBs) -- e.g. healthcare</t>
  </si>
  <si>
    <t>Total Pension Value (TPV)</t>
  </si>
  <si>
    <t>Reasonable Rate of Return</t>
  </si>
  <si>
    <t>Lost Dollar Value (LDV)</t>
  </si>
  <si>
    <t>Adjusted Lost Dollar Value (ALDV)</t>
  </si>
  <si>
    <t>Probability of Pension Failure (%)</t>
  </si>
  <si>
    <t>ALDV for Lump Sum Offer</t>
  </si>
  <si>
    <t>Pension Lump Sum Offer</t>
  </si>
  <si>
    <t>Safe Withdrawal Rate</t>
  </si>
  <si>
    <t>Pension Annuity</t>
  </si>
  <si>
    <t>Pension Annuity Start Age</t>
  </si>
  <si>
    <t>Lump Sum Offer Amount</t>
  </si>
  <si>
    <t>Lump Sum Eligible Age</t>
  </si>
  <si>
    <t>Invested Lump Sum Value at Annuity Start</t>
  </si>
  <si>
    <t>Annual Annuity as a % of Invested Lump Sum Value</t>
  </si>
  <si>
    <t>First Year SWR Amount</t>
  </si>
  <si>
    <t>Pension Values</t>
  </si>
  <si>
    <t>Needed Portfolio at retirement age  (4% rule)</t>
  </si>
  <si>
    <t>Needed buyout to match annuity using 4% rule</t>
  </si>
  <si>
    <t>Reasonable Rate of Return / Discount Rate</t>
  </si>
  <si>
    <t>First year difference between SWR and annuity amounts</t>
  </si>
  <si>
    <t xml:space="preserve">Value of Lump Sum </t>
  </si>
  <si>
    <t>Expected market return (Pre-inflation)</t>
  </si>
  <si>
    <t xml:space="preserve">https://www.financialsamurai.com/how-do-i-calculate-the-value-of-my-pension/ </t>
  </si>
  <si>
    <t xml:space="preserve">https://grumpusmaximus.com/pension-series-part-4-total-dollar-value/ </t>
  </si>
  <si>
    <t xml:space="preserve">https://www.caniretireyet.com/pension-lump-sum-2-opposing-methods/ </t>
  </si>
  <si>
    <t xml:space="preserve">https://grumpusmaximus.com/pension-series-part-8-pension-lump-sum/ </t>
  </si>
  <si>
    <t xml:space="preserve">https://grumpusmaximus.com/pension-series-12-pension-lump-sum-analysis/ </t>
  </si>
  <si>
    <t>Estimated Life Span (ELS) of pension</t>
  </si>
  <si>
    <t>*Based on Pension Series Part 4 No COLA Pension Total Dollar Value (TDV) formula = IDV[((1-r)^(ELS+1)-(1-r))/-r]</t>
  </si>
  <si>
    <t>IDV = Initial Dollar Value (i.e. annual pension amount pre inflation) as stated in C3</t>
  </si>
  <si>
    <t>r = inflation rate as stated in C8</t>
  </si>
  <si>
    <t>ELS = Estimated Life Span once the pension starts to pay out as stated in C7</t>
  </si>
  <si>
    <t>*TDV of Pension</t>
  </si>
  <si>
    <t>Projected Rate of Return (Pre-inflation)</t>
  </si>
  <si>
    <t xml:space="preserve"> </t>
  </si>
  <si>
    <t>**Spend to zero scenario (in years)</t>
  </si>
  <si>
    <t xml:space="preserve">In that case the value in cell C27 will error out with #NUM! </t>
  </si>
  <si>
    <t>** If the projected rate of return in C22 is too high, it means spending to zero may not be possible.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</si>
</sst>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0.0%"/>
    <numFmt numFmtId="166" formatCode="0.0000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b/>
      <sz val="14"/>
      <color indexed="8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b/>
      <u/>
      <sz val="12"/>
      <color indexed="8"/>
      <name val="Calibri"/>
      <family val="2"/>
    </font>
    <font>
      <b/>
      <u/>
      <sz val="14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b/>
      <sz val="11"/>
      <color indexed="17"/>
      <name val="Calibri"/>
      <family val="2"/>
    </font>
    <font>
      <b/>
      <sz val="14"/>
      <color indexed="17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164" fontId="0" fillId="0" borderId="1" xfId="1" applyNumberFormat="1" applyFont="1" applyBorder="1"/>
    <xf numFmtId="164" fontId="2" fillId="0" borderId="4" xfId="1" applyNumberFormat="1" applyFont="1" applyBorder="1" applyAlignment="1">
      <alignment horizontal="center"/>
    </xf>
    <xf numFmtId="164" fontId="0" fillId="0" borderId="0" xfId="0" applyNumberFormat="1"/>
    <xf numFmtId="0" fontId="0" fillId="0" borderId="5" xfId="0" applyBorder="1"/>
    <xf numFmtId="0" fontId="0" fillId="0" borderId="0" xfId="0" applyAlignment="1">
      <alignment wrapText="1"/>
    </xf>
    <xf numFmtId="44" fontId="0" fillId="0" borderId="0" xfId="1" applyFont="1"/>
    <xf numFmtId="44" fontId="0" fillId="0" borderId="0" xfId="0" applyNumberFormat="1"/>
    <xf numFmtId="0" fontId="0" fillId="0" borderId="1" xfId="0" applyBorder="1"/>
    <xf numFmtId="14" fontId="0" fillId="0" borderId="1" xfId="0" applyNumberFormat="1" applyBorder="1"/>
    <xf numFmtId="44" fontId="0" fillId="0" borderId="1" xfId="1" applyFont="1" applyBorder="1"/>
    <xf numFmtId="0" fontId="3" fillId="0" borderId="0" xfId="0" applyFont="1"/>
    <xf numFmtId="0" fontId="0" fillId="0" borderId="6" xfId="0" applyBorder="1"/>
    <xf numFmtId="44" fontId="0" fillId="0" borderId="6" xfId="1" applyFont="1" applyBorder="1" applyAlignment="1">
      <alignment wrapText="1"/>
    </xf>
    <xf numFmtId="0" fontId="0" fillId="0" borderId="0" xfId="0" applyBorder="1"/>
    <xf numFmtId="44" fontId="0" fillId="0" borderId="0" xfId="1" applyFont="1" applyBorder="1"/>
    <xf numFmtId="0" fontId="0" fillId="0" borderId="7" xfId="0" applyBorder="1"/>
    <xf numFmtId="44" fontId="0" fillId="0" borderId="7" xfId="1" applyFont="1" applyBorder="1"/>
    <xf numFmtId="0" fontId="0" fillId="0" borderId="8" xfId="0" applyBorder="1"/>
    <xf numFmtId="0" fontId="2" fillId="0" borderId="0" xfId="0" applyFont="1" applyBorder="1"/>
    <xf numFmtId="164" fontId="2" fillId="0" borderId="0" xfId="0" applyNumberFormat="1" applyFont="1" applyBorder="1"/>
    <xf numFmtId="0" fontId="0" fillId="0" borderId="0" xfId="0" applyFill="1"/>
    <xf numFmtId="0" fontId="0" fillId="0" borderId="0" xfId="0" applyFill="1" applyBorder="1"/>
    <xf numFmtId="0" fontId="4" fillId="0" borderId="0" xfId="0" applyFont="1" applyBorder="1"/>
    <xf numFmtId="164" fontId="4" fillId="0" borderId="0" xfId="0" applyNumberFormat="1" applyFont="1" applyBorder="1"/>
    <xf numFmtId="0" fontId="5" fillId="0" borderId="0" xfId="0" applyFont="1"/>
    <xf numFmtId="0" fontId="0" fillId="0" borderId="0" xfId="0" applyBorder="1" applyAlignment="1">
      <alignment wrapText="1"/>
    </xf>
    <xf numFmtId="9" fontId="0" fillId="0" borderId="0" xfId="0" applyNumberFormat="1" applyBorder="1" applyAlignment="1">
      <alignment vertical="center"/>
    </xf>
    <xf numFmtId="0" fontId="0" fillId="0" borderId="5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164" fontId="4" fillId="0" borderId="0" xfId="1" applyNumberFormat="1" applyFont="1"/>
    <xf numFmtId="0" fontId="6" fillId="0" borderId="0" xfId="0" applyFont="1"/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0" fontId="0" fillId="0" borderId="11" xfId="3" applyNumberFormat="1" applyFon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1" xfId="3" applyNumberFormat="1" applyFont="1" applyBorder="1" applyAlignment="1">
      <alignment horizontal="center" vertical="top"/>
    </xf>
    <xf numFmtId="0" fontId="0" fillId="0" borderId="7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left" vertical="center"/>
    </xf>
    <xf numFmtId="44" fontId="0" fillId="0" borderId="11" xfId="1" applyFont="1" applyBorder="1"/>
    <xf numFmtId="44" fontId="0" fillId="2" borderId="11" xfId="1" applyFont="1" applyFill="1" applyBorder="1"/>
    <xf numFmtId="44" fontId="0" fillId="2" borderId="12" xfId="1" applyFont="1" applyFill="1" applyBorder="1"/>
    <xf numFmtId="44" fontId="0" fillId="2" borderId="16" xfId="1" applyFont="1" applyFill="1" applyBorder="1"/>
    <xf numFmtId="9" fontId="0" fillId="2" borderId="11" xfId="3" applyFont="1" applyFill="1" applyBorder="1"/>
    <xf numFmtId="44" fontId="0" fillId="0" borderId="10" xfId="1" applyFont="1" applyBorder="1" applyAlignment="1">
      <alignment horizontal="center"/>
    </xf>
    <xf numFmtId="0" fontId="0" fillId="2" borderId="11" xfId="0" applyNumberForma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4" fontId="0" fillId="2" borderId="16" xfId="0" applyNumberFormat="1" applyFill="1" applyBorder="1"/>
    <xf numFmtId="0" fontId="0" fillId="2" borderId="11" xfId="0" applyFill="1" applyBorder="1"/>
    <xf numFmtId="10" fontId="0" fillId="2" borderId="11" xfId="0" applyNumberFormat="1" applyFill="1" applyBorder="1"/>
    <xf numFmtId="0" fontId="0" fillId="0" borderId="0" xfId="0" applyFill="1" applyBorder="1" applyAlignment="1">
      <alignment wrapText="1"/>
    </xf>
    <xf numFmtId="9" fontId="0" fillId="2" borderId="11" xfId="0" applyNumberFormat="1" applyFill="1" applyBorder="1"/>
    <xf numFmtId="0" fontId="0" fillId="2" borderId="12" xfId="0" applyFill="1" applyBorder="1"/>
    <xf numFmtId="14" fontId="0" fillId="2" borderId="16" xfId="0" applyNumberFormat="1" applyFill="1" applyBorder="1"/>
    <xf numFmtId="9" fontId="0" fillId="2" borderId="12" xfId="0" applyNumberFormat="1" applyFill="1" applyBorder="1" applyAlignment="1">
      <alignment vertical="center"/>
    </xf>
    <xf numFmtId="164" fontId="0" fillId="2" borderId="11" xfId="0" applyNumberFormat="1" applyFill="1" applyBorder="1"/>
    <xf numFmtId="9" fontId="0" fillId="2" borderId="11" xfId="3" applyFont="1" applyFill="1" applyBorder="1" applyAlignment="1">
      <alignment horizontal="center"/>
    </xf>
    <xf numFmtId="164" fontId="0" fillId="2" borderId="11" xfId="1" applyNumberFormat="1" applyFont="1" applyFill="1" applyBorder="1" applyAlignment="1">
      <alignment horizontal="center"/>
    </xf>
    <xf numFmtId="0" fontId="0" fillId="2" borderId="17" xfId="1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44" fontId="0" fillId="2" borderId="16" xfId="1" applyFont="1" applyFill="1" applyBorder="1" applyAlignment="1">
      <alignment vertical="center"/>
    </xf>
    <xf numFmtId="44" fontId="0" fillId="2" borderId="11" xfId="1" applyFont="1" applyFill="1" applyBorder="1" applyAlignment="1">
      <alignment vertical="center"/>
    </xf>
    <xf numFmtId="0" fontId="0" fillId="0" borderId="10" xfId="1" applyNumberFormat="1" applyFont="1" applyBorder="1" applyAlignment="1">
      <alignment horizontal="center"/>
    </xf>
    <xf numFmtId="0" fontId="0" fillId="2" borderId="11" xfId="1" applyNumberFormat="1" applyFont="1" applyFill="1" applyBorder="1"/>
    <xf numFmtId="10" fontId="0" fillId="2" borderId="11" xfId="3" applyNumberFormat="1" applyFont="1" applyFill="1" applyBorder="1"/>
    <xf numFmtId="10" fontId="0" fillId="2" borderId="11" xfId="1" applyNumberFormat="1" applyFont="1" applyFill="1" applyBorder="1"/>
    <xf numFmtId="0" fontId="0" fillId="0" borderId="2" xfId="0" applyFill="1" applyBorder="1" applyAlignment="1">
      <alignment wrapText="1"/>
    </xf>
    <xf numFmtId="164" fontId="2" fillId="2" borderId="16" xfId="1" applyNumberFormat="1" applyFont="1" applyFill="1" applyBorder="1" applyAlignment="1">
      <alignment horizontal="center"/>
    </xf>
    <xf numFmtId="164" fontId="2" fillId="2" borderId="11" xfId="1" applyNumberFormat="1" applyFont="1" applyFill="1" applyBorder="1" applyAlignment="1">
      <alignment horizontal="center"/>
    </xf>
    <xf numFmtId="164" fontId="2" fillId="2" borderId="12" xfId="1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10" fillId="0" borderId="0" xfId="0" applyFont="1"/>
    <xf numFmtId="0" fontId="2" fillId="0" borderId="0" xfId="0" applyFont="1" applyAlignment="1">
      <alignment wrapText="1"/>
    </xf>
    <xf numFmtId="44" fontId="0" fillId="2" borderId="16" xfId="1" applyNumberFormat="1" applyFont="1" applyFill="1" applyBorder="1"/>
    <xf numFmtId="0" fontId="0" fillId="0" borderId="3" xfId="0" applyFill="1" applyBorder="1" applyAlignment="1">
      <alignment wrapText="1"/>
    </xf>
    <xf numFmtId="44" fontId="10" fillId="2" borderId="11" xfId="1" applyFont="1" applyFill="1" applyBorder="1"/>
    <xf numFmtId="10" fontId="10" fillId="2" borderId="11" xfId="3" applyNumberFormat="1" applyFont="1" applyFill="1" applyBorder="1"/>
    <xf numFmtId="0" fontId="11" fillId="0" borderId="0" xfId="2" applyAlignment="1" applyProtection="1"/>
    <xf numFmtId="166" fontId="10" fillId="0" borderId="0" xfId="0" applyNumberFormat="1" applyFont="1" applyFill="1" applyBorder="1"/>
    <xf numFmtId="0" fontId="4" fillId="0" borderId="0" xfId="0" applyFont="1" applyFill="1" applyBorder="1" applyAlignment="1">
      <alignment wrapText="1"/>
    </xf>
    <xf numFmtId="44" fontId="12" fillId="2" borderId="11" xfId="1" applyFont="1" applyFill="1" applyBorder="1"/>
    <xf numFmtId="164" fontId="13" fillId="0" borderId="0" xfId="1" applyNumberFormat="1" applyFont="1"/>
    <xf numFmtId="10" fontId="0" fillId="0" borderId="11" xfId="3" applyNumberFormat="1" applyFont="1" applyBorder="1"/>
    <xf numFmtId="165" fontId="0" fillId="0" borderId="11" xfId="0" applyNumberFormat="1" applyBorder="1" applyAlignment="1">
      <alignment horizontal="center"/>
    </xf>
    <xf numFmtId="0" fontId="0" fillId="0" borderId="8" xfId="0" applyBorder="1" applyAlignment="1">
      <alignment wrapText="1"/>
    </xf>
    <xf numFmtId="10" fontId="0" fillId="2" borderId="11" xfId="0" applyNumberFormat="1" applyFill="1" applyBorder="1" applyAlignment="1">
      <alignment vertical="center"/>
    </xf>
    <xf numFmtId="10" fontId="0" fillId="2" borderId="17" xfId="0" applyNumberFormat="1" applyFill="1" applyBorder="1" applyAlignment="1">
      <alignment vertical="center"/>
    </xf>
    <xf numFmtId="0" fontId="11" fillId="0" borderId="0" xfId="2" applyAlignment="1" applyProtection="1">
      <alignment wrapText="1"/>
    </xf>
    <xf numFmtId="0" fontId="3" fillId="0" borderId="0" xfId="0" applyFont="1" applyAlignment="1"/>
    <xf numFmtId="0" fontId="11" fillId="0" borderId="0" xfId="2" applyAlignment="1" applyProtection="1">
      <alignment horizontal="left"/>
    </xf>
    <xf numFmtId="0" fontId="10" fillId="2" borderId="12" xfId="1" applyNumberFormat="1" applyFont="1" applyFill="1" applyBorder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18" xfId="0" applyBorder="1" applyAlignment="1">
      <alignment horizontal="left"/>
    </xf>
    <xf numFmtId="0" fontId="0" fillId="0" borderId="6" xfId="0" applyBorder="1" applyAlignment="1">
      <alignment horizontal="left"/>
    </xf>
    <xf numFmtId="0" fontId="11" fillId="0" borderId="18" xfId="2" applyBorder="1" applyAlignment="1" applyProtection="1">
      <alignment horizontal="left"/>
    </xf>
    <xf numFmtId="0" fontId="11" fillId="0" borderId="6" xfId="2" applyBorder="1" applyAlignment="1" applyProtection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11" fillId="0" borderId="0" xfId="2" applyAlignment="1" applyProtection="1"/>
    <xf numFmtId="0" fontId="3" fillId="0" borderId="0" xfId="0" applyFont="1"/>
    <xf numFmtId="0" fontId="11" fillId="0" borderId="0" xfId="2" applyAlignment="1" applyProtection="1">
      <alignment horizontal="left"/>
    </xf>
    <xf numFmtId="0" fontId="5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sa.gov/oact/STATS/table4c6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umpusmaximus.com/pension-series-part-8-pension-lump-sum/" TargetMode="External"/><Relationship Id="rId2" Type="http://schemas.openxmlformats.org/officeDocument/2006/relationships/hyperlink" Target="https://www.caniretireyet.com/pension-lump-sum-2-opposing-methods/" TargetMode="External"/><Relationship Id="rId1" Type="http://schemas.openxmlformats.org/officeDocument/2006/relationships/hyperlink" Target="https://grumpusmaximus.com/pension-series-part-4-total-dollar-valu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grumpusmaximus.com/pension-series-12-pension-lump-sum-analysi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finance.zacks.com/calculate-net-present-value-future-pension-9929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ctuaryonfire.com/valuing-a-pension-actuary-style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inancialsamurai.com/how-do-i-calculate-the-value-of-my-pens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23"/>
  <sheetViews>
    <sheetView showGridLines="0" tabSelected="1" workbookViewId="0">
      <selection activeCell="D12" sqref="D12"/>
    </sheetView>
  </sheetViews>
  <sheetFormatPr defaultRowHeight="15" x14ac:dyDescent="0.25"/>
  <cols>
    <col min="1" max="1" width="4.140625" customWidth="1"/>
    <col min="2" max="2" width="30.5703125" customWidth="1"/>
    <col min="3" max="3" width="11.140625" customWidth="1"/>
    <col min="4" max="4" width="16.85546875" customWidth="1"/>
  </cols>
  <sheetData>
    <row r="2" spans="2:5" ht="18" customHeight="1" thickBot="1" x14ac:dyDescent="0.3">
      <c r="B2" s="102" t="s">
        <v>87</v>
      </c>
      <c r="C2" s="102"/>
      <c r="D2" s="102"/>
    </row>
    <row r="3" spans="2:5" x14ac:dyDescent="0.25">
      <c r="B3" s="112" t="s">
        <v>107</v>
      </c>
      <c r="C3" s="48" t="s">
        <v>5</v>
      </c>
      <c r="D3" s="40"/>
    </row>
    <row r="4" spans="2:5" ht="15" hidden="1" customHeight="1" x14ac:dyDescent="0.25">
      <c r="B4" s="113"/>
      <c r="C4" s="46"/>
      <c r="D4" s="41">
        <f>IF(ISBLANK(D3),D5/12,D3)</f>
        <v>879.75</v>
      </c>
    </row>
    <row r="5" spans="2:5" x14ac:dyDescent="0.25">
      <c r="B5" s="114"/>
      <c r="C5" s="47" t="s">
        <v>96</v>
      </c>
      <c r="D5" s="41">
        <v>10557</v>
      </c>
    </row>
    <row r="6" spans="2:5" x14ac:dyDescent="0.25">
      <c r="B6" s="49" t="s">
        <v>109</v>
      </c>
      <c r="C6" s="47"/>
      <c r="D6" s="55">
        <v>64000</v>
      </c>
    </row>
    <row r="7" spans="2:5" x14ac:dyDescent="0.25">
      <c r="B7" s="49" t="s">
        <v>110</v>
      </c>
      <c r="C7" s="47"/>
      <c r="D7" s="73">
        <v>56</v>
      </c>
    </row>
    <row r="8" spans="2:5" x14ac:dyDescent="0.25">
      <c r="B8" s="110" t="s">
        <v>1</v>
      </c>
      <c r="C8" s="111"/>
      <c r="D8" s="42">
        <v>56</v>
      </c>
    </row>
    <row r="9" spans="2:5" x14ac:dyDescent="0.25">
      <c r="B9" s="104" t="s">
        <v>108</v>
      </c>
      <c r="C9" s="105"/>
      <c r="D9" s="42">
        <v>65</v>
      </c>
    </row>
    <row r="10" spans="2:5" x14ac:dyDescent="0.25">
      <c r="B10" s="106" t="s">
        <v>83</v>
      </c>
      <c r="C10" s="107"/>
      <c r="D10" s="42">
        <v>84</v>
      </c>
    </row>
    <row r="11" spans="2:5" x14ac:dyDescent="0.25">
      <c r="B11" s="104" t="s">
        <v>120</v>
      </c>
      <c r="C11" s="105"/>
      <c r="D11" s="43">
        <v>6.5000000000000002E-2</v>
      </c>
    </row>
    <row r="12" spans="2:5" x14ac:dyDescent="0.25">
      <c r="B12" s="104" t="s">
        <v>117</v>
      </c>
      <c r="C12" s="105"/>
      <c r="D12" s="43">
        <v>3.6499999999999998E-2</v>
      </c>
    </row>
    <row r="13" spans="2:5" x14ac:dyDescent="0.25">
      <c r="B13" s="104" t="s">
        <v>95</v>
      </c>
      <c r="C13" s="105"/>
      <c r="D13" s="45">
        <v>0.68</v>
      </c>
    </row>
    <row r="14" spans="2:5" x14ac:dyDescent="0.25">
      <c r="B14" s="104" t="s">
        <v>19</v>
      </c>
      <c r="C14" s="105"/>
      <c r="D14" s="94">
        <v>0</v>
      </c>
      <c r="E14" s="39" t="s">
        <v>88</v>
      </c>
    </row>
    <row r="15" spans="2:5" ht="15.75" thickBot="1" x14ac:dyDescent="0.3">
      <c r="B15" s="108" t="s">
        <v>89</v>
      </c>
      <c r="C15" s="109"/>
      <c r="D15" s="44">
        <v>0.03</v>
      </c>
    </row>
    <row r="18" spans="2:5" ht="19.5" thickBot="1" x14ac:dyDescent="0.35">
      <c r="B18" s="103" t="s">
        <v>114</v>
      </c>
      <c r="C18" s="103"/>
      <c r="D18" s="103"/>
    </row>
    <row r="19" spans="2:5" ht="15.75" x14ac:dyDescent="0.25">
      <c r="B19" s="115" t="s">
        <v>92</v>
      </c>
      <c r="C19" s="116"/>
      <c r="D19" s="78">
        <f>'Grumpus Maximus'!C12</f>
        <v>149981.77072407768</v>
      </c>
      <c r="E19" s="30"/>
    </row>
    <row r="20" spans="2:5" ht="15.75" x14ac:dyDescent="0.25">
      <c r="B20" s="104" t="s">
        <v>93</v>
      </c>
      <c r="C20" s="105"/>
      <c r="D20" s="79">
        <f>'Net Present Value'!C12</f>
        <v>103470.70096334125</v>
      </c>
      <c r="E20" s="16"/>
    </row>
    <row r="21" spans="2:5" ht="15.75" x14ac:dyDescent="0.25">
      <c r="B21" s="104" t="s">
        <v>90</v>
      </c>
      <c r="C21" s="105"/>
      <c r="D21" s="79">
        <f>ActuaryFire!C11</f>
        <v>206757.95118662622</v>
      </c>
    </row>
    <row r="22" spans="2:5" ht="15.75" x14ac:dyDescent="0.25">
      <c r="B22" s="104" t="s">
        <v>91</v>
      </c>
      <c r="C22" s="105"/>
      <c r="D22" s="79">
        <f>'Financial Samurai'!C7</f>
        <v>196678.35616438361</v>
      </c>
    </row>
    <row r="23" spans="2:5" ht="16.5" thickBot="1" x14ac:dyDescent="0.3">
      <c r="B23" s="108" t="s">
        <v>94</v>
      </c>
      <c r="C23" s="109"/>
      <c r="D23" s="80">
        <f>'4% Rule vs Pension Buyout'!G9</f>
        <v>149738.70065486469</v>
      </c>
    </row>
  </sheetData>
  <mergeCells count="16">
    <mergeCell ref="B22:C22"/>
    <mergeCell ref="B23:C23"/>
    <mergeCell ref="B3:B5"/>
    <mergeCell ref="B19:C19"/>
    <mergeCell ref="B20:C20"/>
    <mergeCell ref="B21:C21"/>
    <mergeCell ref="B2:D2"/>
    <mergeCell ref="B18:D18"/>
    <mergeCell ref="B9:C9"/>
    <mergeCell ref="B10:C10"/>
    <mergeCell ref="B11:C11"/>
    <mergeCell ref="B12:C12"/>
    <mergeCell ref="B13:C13"/>
    <mergeCell ref="B14:C14"/>
    <mergeCell ref="B15:C15"/>
    <mergeCell ref="B8:C8"/>
  </mergeCells>
  <phoneticPr fontId="9" type="noConversion"/>
  <hyperlinks>
    <hyperlink ref="B10:C10" r:id="rId1" display="Life Expectancy" xr:uid="{C2C4AF86-B8F3-4ABA-9121-D263AFC504BD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39"/>
  <sheetViews>
    <sheetView showGridLines="0" workbookViewId="0">
      <selection activeCell="B39" activeCellId="1" sqref="B38 B39"/>
    </sheetView>
  </sheetViews>
  <sheetFormatPr defaultRowHeight="15" x14ac:dyDescent="0.25"/>
  <cols>
    <col min="2" max="2" width="35.7109375" customWidth="1"/>
    <col min="3" max="3" width="37.7109375" customWidth="1"/>
    <col min="4" max="4" width="9.85546875" customWidth="1"/>
    <col min="5" max="5" width="12.140625" customWidth="1"/>
    <col min="6" max="6" width="34.5703125" style="10" bestFit="1" customWidth="1"/>
    <col min="7" max="7" width="24.5703125" customWidth="1"/>
  </cols>
  <sheetData>
    <row r="1" spans="2:10" ht="15.75" thickBot="1" x14ac:dyDescent="0.3"/>
    <row r="2" spans="2:10" x14ac:dyDescent="0.25">
      <c r="B2" s="33" t="s">
        <v>78</v>
      </c>
      <c r="C2" s="71">
        <f>'Scenario &amp; assumptions'!D4</f>
        <v>879.75</v>
      </c>
      <c r="F2" s="33" t="s">
        <v>97</v>
      </c>
      <c r="G2" s="53">
        <f>C12</f>
        <v>149981.77072407768</v>
      </c>
      <c r="H2" s="19"/>
      <c r="I2" s="19"/>
      <c r="J2" s="19"/>
    </row>
    <row r="3" spans="2:10" ht="30" x14ac:dyDescent="0.25">
      <c r="B3" s="34" t="s">
        <v>79</v>
      </c>
      <c r="C3" s="72">
        <f>C2*12</f>
        <v>10557</v>
      </c>
      <c r="F3" s="34" t="s">
        <v>98</v>
      </c>
      <c r="G3" s="50">
        <v>0</v>
      </c>
      <c r="H3" s="19"/>
      <c r="I3" s="19"/>
      <c r="J3" s="19"/>
    </row>
    <row r="4" spans="2:10" x14ac:dyDescent="0.25">
      <c r="B4" s="34" t="s">
        <v>1</v>
      </c>
      <c r="C4" s="56">
        <f>'Scenario &amp; assumptions'!D8</f>
        <v>56</v>
      </c>
      <c r="F4" s="34" t="s">
        <v>99</v>
      </c>
      <c r="G4" s="51">
        <f>SUM(G2:G3)</f>
        <v>149981.77072407768</v>
      </c>
      <c r="H4" s="19"/>
      <c r="I4" s="19"/>
      <c r="J4" s="19"/>
    </row>
    <row r="5" spans="2:10" x14ac:dyDescent="0.25">
      <c r="B5" s="34" t="s">
        <v>82</v>
      </c>
      <c r="C5" s="57">
        <f>'Scenario &amp; assumptions'!D9</f>
        <v>65</v>
      </c>
      <c r="F5" s="34" t="s">
        <v>119</v>
      </c>
      <c r="G5" s="51">
        <f>'Scenario &amp; assumptions'!D6</f>
        <v>64000</v>
      </c>
      <c r="H5" s="19"/>
      <c r="I5" s="19"/>
      <c r="J5" s="19"/>
    </row>
    <row r="6" spans="2:10" x14ac:dyDescent="0.25">
      <c r="B6" s="34" t="s">
        <v>83</v>
      </c>
      <c r="C6" s="57">
        <f>'Scenario &amp; assumptions'!D10</f>
        <v>84</v>
      </c>
      <c r="F6" s="34" t="s">
        <v>101</v>
      </c>
      <c r="G6" s="51">
        <f>(G4)-G5</f>
        <v>85981.77072407768</v>
      </c>
      <c r="H6" s="19"/>
      <c r="I6" s="19"/>
      <c r="J6" s="19"/>
    </row>
    <row r="7" spans="2:10" x14ac:dyDescent="0.25">
      <c r="B7" s="34" t="s">
        <v>126</v>
      </c>
      <c r="C7" s="57">
        <f>(C6-C5)</f>
        <v>19</v>
      </c>
      <c r="F7" s="34" t="s">
        <v>103</v>
      </c>
      <c r="G7" s="54">
        <f>100%-'Scenario &amp; assumptions'!D13</f>
        <v>0.31999999999999995</v>
      </c>
      <c r="H7" s="19"/>
      <c r="I7" s="19"/>
      <c r="J7" s="19"/>
    </row>
    <row r="8" spans="2:10" ht="15.75" thickBot="1" x14ac:dyDescent="0.3">
      <c r="B8" s="34" t="s">
        <v>84</v>
      </c>
      <c r="C8" s="96">
        <f>'Scenario &amp; assumptions'!D15</f>
        <v>0.03</v>
      </c>
      <c r="F8" s="35" t="s">
        <v>102</v>
      </c>
      <c r="G8" s="52">
        <f>G6-(G6*G7)</f>
        <v>58467.604092372829</v>
      </c>
      <c r="H8" s="19"/>
      <c r="I8" s="19"/>
      <c r="J8" s="19"/>
    </row>
    <row r="9" spans="2:10" x14ac:dyDescent="0.25">
      <c r="B9" s="95" t="s">
        <v>19</v>
      </c>
      <c r="C9" s="97">
        <f>'Scenario &amp; assumptions'!D14</f>
        <v>0</v>
      </c>
      <c r="H9" s="19"/>
      <c r="I9" s="19"/>
      <c r="J9" s="19"/>
    </row>
    <row r="10" spans="2:10" ht="19.5" thickBot="1" x14ac:dyDescent="0.35">
      <c r="B10" s="35" t="s">
        <v>81</v>
      </c>
      <c r="C10" s="52">
        <f>C3*(C6-C5)</f>
        <v>200583</v>
      </c>
      <c r="F10" s="37" t="s">
        <v>104</v>
      </c>
      <c r="G10" s="38">
        <f>G8</f>
        <v>58467.604092372829</v>
      </c>
    </row>
    <row r="11" spans="2:10" x14ac:dyDescent="0.25">
      <c r="B11" s="10"/>
      <c r="C11" s="11"/>
    </row>
    <row r="12" spans="2:10" ht="18.75" x14ac:dyDescent="0.3">
      <c r="B12" s="37" t="s">
        <v>131</v>
      </c>
      <c r="C12" s="38">
        <f>C3*(((1-C8)^(C7+1)-(1-C8))/-C8)</f>
        <v>149981.77072407768</v>
      </c>
      <c r="F12" s="117" t="s">
        <v>123</v>
      </c>
      <c r="G12" s="118"/>
    </row>
    <row r="13" spans="2:10" ht="30" x14ac:dyDescent="0.25">
      <c r="F13" s="98" t="s">
        <v>124</v>
      </c>
      <c r="G13" s="99"/>
    </row>
    <row r="14" spans="2:10" ht="15" customHeight="1" x14ac:dyDescent="0.25">
      <c r="B14" s="88" t="s">
        <v>122</v>
      </c>
      <c r="F14" s="81"/>
      <c r="G14" s="16"/>
      <c r="H14" s="99"/>
      <c r="I14" s="99"/>
    </row>
    <row r="15" spans="2:10" ht="15.75" thickBot="1" x14ac:dyDescent="0.3">
      <c r="H15" s="16"/>
      <c r="I15" s="16"/>
    </row>
    <row r="16" spans="2:10" x14ac:dyDescent="0.25">
      <c r="B16" s="33" t="s">
        <v>105</v>
      </c>
      <c r="C16" s="84">
        <f>'Scenario &amp; assumptions'!D6</f>
        <v>64000</v>
      </c>
    </row>
    <row r="17" spans="2:5" x14ac:dyDescent="0.25">
      <c r="B17" s="34" t="s">
        <v>79</v>
      </c>
      <c r="C17" s="91">
        <f>'Scenario &amp; assumptions'!D5</f>
        <v>10557</v>
      </c>
    </row>
    <row r="18" spans="2:5" x14ac:dyDescent="0.25">
      <c r="B18" s="34" t="s">
        <v>110</v>
      </c>
      <c r="C18" s="74">
        <f>'Scenario &amp; assumptions'!D7</f>
        <v>56</v>
      </c>
    </row>
    <row r="19" spans="2:5" x14ac:dyDescent="0.25">
      <c r="B19" s="34" t="s">
        <v>108</v>
      </c>
      <c r="C19" s="74">
        <f>'Scenario &amp; assumptions'!D9</f>
        <v>65</v>
      </c>
    </row>
    <row r="20" spans="2:5" x14ac:dyDescent="0.25">
      <c r="B20" s="34" t="s">
        <v>83</v>
      </c>
      <c r="C20" s="74">
        <f>'Scenario &amp; assumptions'!D10</f>
        <v>84</v>
      </c>
    </row>
    <row r="21" spans="2:5" x14ac:dyDescent="0.25">
      <c r="B21" s="34" t="s">
        <v>84</v>
      </c>
      <c r="C21" s="75">
        <f>'Scenario &amp; assumptions'!D15</f>
        <v>0.03</v>
      </c>
    </row>
    <row r="22" spans="2:5" ht="14.25" customHeight="1" x14ac:dyDescent="0.25">
      <c r="B22" s="34" t="s">
        <v>132</v>
      </c>
      <c r="C22" s="76">
        <f>'Scenario &amp; assumptions'!D11</f>
        <v>6.5000000000000002E-2</v>
      </c>
    </row>
    <row r="23" spans="2:5" x14ac:dyDescent="0.25">
      <c r="B23" s="34" t="s">
        <v>106</v>
      </c>
      <c r="C23" s="93">
        <v>0.04</v>
      </c>
    </row>
    <row r="24" spans="2:5" ht="30" x14ac:dyDescent="0.25">
      <c r="B24" s="77" t="s">
        <v>111</v>
      </c>
      <c r="C24" s="86">
        <f>C16*(1+(C22))^(C19-C18)</f>
        <v>112804.50495515396</v>
      </c>
    </row>
    <row r="25" spans="2:5" x14ac:dyDescent="0.25">
      <c r="B25" s="77" t="s">
        <v>113</v>
      </c>
      <c r="C25" s="86">
        <f>C24*C23</f>
        <v>4512.1801982061579</v>
      </c>
    </row>
    <row r="26" spans="2:5" ht="30" x14ac:dyDescent="0.25">
      <c r="B26" s="77" t="s">
        <v>112</v>
      </c>
      <c r="C26" s="87">
        <f>C17/C24</f>
        <v>9.3586687909290436E-2</v>
      </c>
    </row>
    <row r="27" spans="2:5" ht="15.75" thickBot="1" x14ac:dyDescent="0.3">
      <c r="B27" s="85" t="s">
        <v>134</v>
      </c>
      <c r="C27" s="101">
        <f>NPER(C22/1,C17,-C24,0,0)</f>
        <v>18.832088616727891</v>
      </c>
    </row>
    <row r="28" spans="2:5" x14ac:dyDescent="0.25">
      <c r="B28" s="61"/>
      <c r="C28" s="89"/>
      <c r="E28" t="s">
        <v>133</v>
      </c>
    </row>
    <row r="29" spans="2:5" ht="56.25" x14ac:dyDescent="0.3">
      <c r="B29" s="90" t="s">
        <v>118</v>
      </c>
      <c r="C29" s="92">
        <f>C17-C25</f>
        <v>6044.8198017938421</v>
      </c>
    </row>
    <row r="30" spans="2:5" x14ac:dyDescent="0.25">
      <c r="D30" s="100"/>
      <c r="E30" s="100"/>
    </row>
    <row r="31" spans="2:5" x14ac:dyDescent="0.25">
      <c r="B31" s="100" t="s">
        <v>125</v>
      </c>
      <c r="C31" s="100"/>
    </row>
    <row r="33" spans="2:3" x14ac:dyDescent="0.25">
      <c r="B33" t="s">
        <v>127</v>
      </c>
      <c r="C33" s="82"/>
    </row>
    <row r="34" spans="2:3" x14ac:dyDescent="0.25">
      <c r="B34" t="s">
        <v>128</v>
      </c>
    </row>
    <row r="35" spans="2:3" x14ac:dyDescent="0.25">
      <c r="B35" t="s">
        <v>129</v>
      </c>
    </row>
    <row r="36" spans="2:3" x14ac:dyDescent="0.25">
      <c r="B36" t="s">
        <v>130</v>
      </c>
    </row>
    <row r="38" spans="2:3" x14ac:dyDescent="0.25">
      <c r="B38" t="s">
        <v>136</v>
      </c>
    </row>
    <row r="39" spans="2:3" x14ac:dyDescent="0.25">
      <c r="B39" t="s">
        <v>135</v>
      </c>
    </row>
  </sheetData>
  <mergeCells count="1">
    <mergeCell ref="F12:G12"/>
  </mergeCells>
  <phoneticPr fontId="9" type="noConversion"/>
  <hyperlinks>
    <hyperlink ref="B14" r:id="rId1" xr:uid="{00000000-0004-0000-0100-000000000000}"/>
    <hyperlink ref="F12" r:id="rId2" xr:uid="{00000000-0004-0000-0100-000001000000}"/>
    <hyperlink ref="F13" r:id="rId3" xr:uid="{00000000-0004-0000-0100-000002000000}"/>
    <hyperlink ref="B31" r:id="rId4" xr:uid="{00000000-0004-0000-0100-000003000000}"/>
  </hyperlinks>
  <pageMargins left="0.7" right="0.7" top="0.75" bottom="0.75" header="0.3" footer="0.3"/>
  <pageSetup orientation="portrait" r:id="rId5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438E83AC-4ACE-4AB8-BC95-EEB1382E49C9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'Grumpus Maximus'!C27</xm:f>
              <xm:sqref>F26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14"/>
  <sheetViews>
    <sheetView showGridLines="0" workbookViewId="0">
      <selection activeCell="C10" sqref="C10"/>
    </sheetView>
  </sheetViews>
  <sheetFormatPr defaultRowHeight="15" x14ac:dyDescent="0.25"/>
  <cols>
    <col min="1" max="1" width="3.140625" customWidth="1"/>
    <col min="2" max="2" width="32.5703125" bestFit="1" customWidth="1"/>
    <col min="3" max="3" width="12.5703125" bestFit="1" customWidth="1"/>
  </cols>
  <sheetData>
    <row r="1" spans="2:3" ht="15.75" thickBot="1" x14ac:dyDescent="0.3"/>
    <row r="2" spans="2:3" x14ac:dyDescent="0.25">
      <c r="B2" s="9" t="s">
        <v>5</v>
      </c>
      <c r="C2" s="58">
        <f>'Scenario &amp; assumptions'!D4</f>
        <v>879.75</v>
      </c>
    </row>
    <row r="3" spans="2:3" x14ac:dyDescent="0.25">
      <c r="B3" s="4" t="s">
        <v>6</v>
      </c>
      <c r="C3" s="66">
        <f>C2*12</f>
        <v>10557</v>
      </c>
    </row>
    <row r="4" spans="2:3" x14ac:dyDescent="0.25">
      <c r="B4" s="4" t="s">
        <v>1</v>
      </c>
      <c r="C4" s="59">
        <f>'Scenario &amp; assumptions'!D8</f>
        <v>56</v>
      </c>
    </row>
    <row r="5" spans="2:3" x14ac:dyDescent="0.25">
      <c r="B5" s="4" t="s">
        <v>7</v>
      </c>
      <c r="C5" s="59">
        <f>'Scenario &amp; assumptions'!D9</f>
        <v>65</v>
      </c>
    </row>
    <row r="6" spans="2:3" x14ac:dyDescent="0.25">
      <c r="B6" s="4" t="s">
        <v>8</v>
      </c>
      <c r="C6" s="59">
        <f>'Scenario &amp; assumptions'!D10</f>
        <v>84</v>
      </c>
    </row>
    <row r="7" spans="2:3" x14ac:dyDescent="0.25">
      <c r="B7" s="4" t="s">
        <v>9</v>
      </c>
      <c r="C7" s="59">
        <f>C6-C5</f>
        <v>19</v>
      </c>
    </row>
    <row r="8" spans="2:3" x14ac:dyDescent="0.25">
      <c r="B8" s="4" t="s">
        <v>10</v>
      </c>
      <c r="C8" s="59">
        <f>C5-C4</f>
        <v>9</v>
      </c>
    </row>
    <row r="9" spans="2:3" x14ac:dyDescent="0.25">
      <c r="B9" s="4" t="s">
        <v>11</v>
      </c>
      <c r="C9" s="60">
        <f>'Scenario &amp; assumptions'!D12</f>
        <v>3.6499999999999998E-2</v>
      </c>
    </row>
    <row r="10" spans="2:3" ht="15.75" thickBot="1" x14ac:dyDescent="0.3">
      <c r="B10" s="5" t="s">
        <v>12</v>
      </c>
      <c r="C10" s="52">
        <f>C3*(1-(1+C9)^-C7)/C9</f>
        <v>142870.03433401228</v>
      </c>
    </row>
    <row r="11" spans="2:3" x14ac:dyDescent="0.25">
      <c r="B11" s="19"/>
      <c r="C11" s="20"/>
    </row>
    <row r="12" spans="2:3" ht="15.75" x14ac:dyDescent="0.25">
      <c r="B12" s="24" t="s">
        <v>13</v>
      </c>
      <c r="C12" s="25">
        <f>C10/((1+C9)^C8)</f>
        <v>103470.70096334125</v>
      </c>
    </row>
    <row r="14" spans="2:3" x14ac:dyDescent="0.25">
      <c r="B14" s="88" t="s">
        <v>14</v>
      </c>
    </row>
  </sheetData>
  <phoneticPr fontId="9" type="noConversion"/>
  <hyperlinks>
    <hyperlink ref="B14" r:id="rId1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F21"/>
  <sheetViews>
    <sheetView showGridLines="0" workbookViewId="0">
      <selection activeCell="C11" sqref="C11"/>
    </sheetView>
  </sheetViews>
  <sheetFormatPr defaultRowHeight="15" x14ac:dyDescent="0.25"/>
  <cols>
    <col min="1" max="1" width="2.7109375" customWidth="1"/>
    <col min="2" max="2" width="24.28515625" bestFit="1" customWidth="1"/>
    <col min="3" max="3" width="15.7109375" customWidth="1"/>
    <col min="4" max="4" width="16.7109375" bestFit="1" customWidth="1"/>
    <col min="5" max="49" width="11.5703125" bestFit="1" customWidth="1"/>
  </cols>
  <sheetData>
    <row r="1" spans="1:58" ht="15.75" thickBot="1" x14ac:dyDescent="0.3"/>
    <row r="2" spans="1:58" x14ac:dyDescent="0.25">
      <c r="B2" s="9" t="s">
        <v>76</v>
      </c>
      <c r="C2" s="64">
        <f ca="1">TODAY()</f>
        <v>44542</v>
      </c>
    </row>
    <row r="3" spans="1:58" x14ac:dyDescent="0.25">
      <c r="B3" s="4" t="s">
        <v>0</v>
      </c>
      <c r="C3" s="51">
        <f>'Scenario &amp; assumptions'!D4</f>
        <v>879.75</v>
      </c>
    </row>
    <row r="4" spans="1:58" x14ac:dyDescent="0.25">
      <c r="B4" s="4" t="s">
        <v>18</v>
      </c>
      <c r="C4" s="51">
        <f>C3*12</f>
        <v>10557</v>
      </c>
    </row>
    <row r="5" spans="1:58" x14ac:dyDescent="0.25">
      <c r="B5" s="4" t="s">
        <v>19</v>
      </c>
      <c r="C5" s="62">
        <f>'Scenario &amp; assumptions'!D14</f>
        <v>0</v>
      </c>
      <c r="D5" s="16" t="s">
        <v>20</v>
      </c>
    </row>
    <row r="6" spans="1:58" x14ac:dyDescent="0.25">
      <c r="B6" s="4" t="s">
        <v>77</v>
      </c>
      <c r="C6" s="60">
        <f>'Scenario &amp; assumptions'!D12</f>
        <v>3.6499999999999998E-2</v>
      </c>
      <c r="D6" s="16"/>
    </row>
    <row r="7" spans="1:58" x14ac:dyDescent="0.25">
      <c r="B7" s="4" t="s">
        <v>1</v>
      </c>
      <c r="C7" s="59">
        <f>'Scenario &amp; assumptions'!D8</f>
        <v>56</v>
      </c>
    </row>
    <row r="8" spans="1:58" x14ac:dyDescent="0.25">
      <c r="B8" s="4" t="s">
        <v>21</v>
      </c>
      <c r="C8" s="59">
        <f>'Scenario &amp; assumptions'!D10</f>
        <v>84</v>
      </c>
    </row>
    <row r="9" spans="1:58" ht="15.75" thickBot="1" x14ac:dyDescent="0.3">
      <c r="B9" s="5" t="s">
        <v>23</v>
      </c>
      <c r="C9" s="63">
        <f>'Scenario &amp; assumptions'!D9</f>
        <v>65</v>
      </c>
    </row>
    <row r="10" spans="1:58" s="26" customFormat="1" x14ac:dyDescent="0.25">
      <c r="B10" s="27"/>
      <c r="C10" s="27"/>
    </row>
    <row r="11" spans="1:58" ht="18.75" x14ac:dyDescent="0.3">
      <c r="B11" s="28" t="s">
        <v>22</v>
      </c>
      <c r="C11" s="29">
        <f>NPV(C6,C15:AL15)</f>
        <v>206757.95118662622</v>
      </c>
    </row>
    <row r="13" spans="1:58" s="13" customFormat="1" x14ac:dyDescent="0.25">
      <c r="A13" s="21"/>
      <c r="B13" s="17" t="s">
        <v>2</v>
      </c>
      <c r="C13" s="13">
        <f>C7</f>
        <v>56</v>
      </c>
      <c r="D13" s="13">
        <f>C9</f>
        <v>65</v>
      </c>
      <c r="E13" s="13">
        <f>D13+1</f>
        <v>66</v>
      </c>
      <c r="F13" s="13">
        <f t="shared" ref="F13:AW13" si="0">E13+1</f>
        <v>67</v>
      </c>
      <c r="G13" s="13">
        <f t="shared" si="0"/>
        <v>68</v>
      </c>
      <c r="H13" s="13">
        <f t="shared" si="0"/>
        <v>69</v>
      </c>
      <c r="I13" s="13">
        <f t="shared" si="0"/>
        <v>70</v>
      </c>
      <c r="J13" s="13">
        <f t="shared" si="0"/>
        <v>71</v>
      </c>
      <c r="K13" s="13">
        <f t="shared" si="0"/>
        <v>72</v>
      </c>
      <c r="L13" s="13">
        <f t="shared" si="0"/>
        <v>73</v>
      </c>
      <c r="M13" s="13">
        <f t="shared" si="0"/>
        <v>74</v>
      </c>
      <c r="N13" s="13">
        <f t="shared" si="0"/>
        <v>75</v>
      </c>
      <c r="O13" s="13">
        <f t="shared" si="0"/>
        <v>76</v>
      </c>
      <c r="P13" s="13">
        <f t="shared" si="0"/>
        <v>77</v>
      </c>
      <c r="Q13" s="13">
        <f t="shared" si="0"/>
        <v>78</v>
      </c>
      <c r="R13" s="13">
        <f t="shared" si="0"/>
        <v>79</v>
      </c>
      <c r="S13" s="13">
        <f t="shared" si="0"/>
        <v>80</v>
      </c>
      <c r="T13" s="13">
        <f t="shared" si="0"/>
        <v>81</v>
      </c>
      <c r="U13" s="13">
        <f t="shared" si="0"/>
        <v>82</v>
      </c>
      <c r="V13" s="13">
        <f t="shared" si="0"/>
        <v>83</v>
      </c>
      <c r="W13" s="13">
        <f t="shared" si="0"/>
        <v>84</v>
      </c>
      <c r="X13" s="13">
        <f t="shared" si="0"/>
        <v>85</v>
      </c>
      <c r="Y13" s="13">
        <f t="shared" si="0"/>
        <v>86</v>
      </c>
      <c r="Z13" s="13">
        <f t="shared" si="0"/>
        <v>87</v>
      </c>
      <c r="AA13" s="13">
        <f t="shared" si="0"/>
        <v>88</v>
      </c>
      <c r="AB13" s="13">
        <f t="shared" si="0"/>
        <v>89</v>
      </c>
      <c r="AC13" s="13">
        <f t="shared" si="0"/>
        <v>90</v>
      </c>
      <c r="AD13" s="13">
        <f t="shared" si="0"/>
        <v>91</v>
      </c>
      <c r="AE13" s="13">
        <f t="shared" si="0"/>
        <v>92</v>
      </c>
      <c r="AF13" s="13">
        <f t="shared" si="0"/>
        <v>93</v>
      </c>
      <c r="AG13" s="13">
        <f t="shared" si="0"/>
        <v>94</v>
      </c>
      <c r="AH13" s="13">
        <f t="shared" si="0"/>
        <v>95</v>
      </c>
      <c r="AI13" s="13">
        <f t="shared" si="0"/>
        <v>96</v>
      </c>
      <c r="AJ13" s="13">
        <f t="shared" si="0"/>
        <v>97</v>
      </c>
      <c r="AK13" s="13">
        <f t="shared" si="0"/>
        <v>98</v>
      </c>
      <c r="AL13" s="13">
        <f t="shared" si="0"/>
        <v>99</v>
      </c>
      <c r="AM13" s="13">
        <f t="shared" si="0"/>
        <v>100</v>
      </c>
      <c r="AN13" s="13">
        <f t="shared" si="0"/>
        <v>101</v>
      </c>
      <c r="AO13" s="13">
        <f t="shared" si="0"/>
        <v>102</v>
      </c>
      <c r="AP13" s="13">
        <f t="shared" si="0"/>
        <v>103</v>
      </c>
      <c r="AQ13" s="13">
        <f t="shared" si="0"/>
        <v>104</v>
      </c>
      <c r="AR13" s="13">
        <f t="shared" si="0"/>
        <v>105</v>
      </c>
      <c r="AS13" s="13">
        <f t="shared" si="0"/>
        <v>106</v>
      </c>
      <c r="AT13" s="13">
        <f t="shared" si="0"/>
        <v>107</v>
      </c>
      <c r="AU13" s="13">
        <f t="shared" si="0"/>
        <v>108</v>
      </c>
      <c r="AV13" s="13">
        <f t="shared" si="0"/>
        <v>109</v>
      </c>
      <c r="AW13" s="13">
        <f t="shared" si="0"/>
        <v>110</v>
      </c>
    </row>
    <row r="14" spans="1:58" s="13" customFormat="1" x14ac:dyDescent="0.25">
      <c r="A14" s="21"/>
      <c r="B14" s="17" t="s">
        <v>16</v>
      </c>
      <c r="C14" s="14">
        <f ca="1">C2</f>
        <v>44542</v>
      </c>
      <c r="D14" s="14">
        <f ca="1">C14+(C9-C7)*365</f>
        <v>47827</v>
      </c>
      <c r="E14" s="14">
        <f t="shared" ref="E14:J14" ca="1" si="1">D14+365</f>
        <v>48192</v>
      </c>
      <c r="F14" s="14">
        <f t="shared" ca="1" si="1"/>
        <v>48557</v>
      </c>
      <c r="G14" s="14">
        <f t="shared" ca="1" si="1"/>
        <v>48922</v>
      </c>
      <c r="H14" s="14">
        <f t="shared" ca="1" si="1"/>
        <v>49287</v>
      </c>
      <c r="I14" s="14">
        <f t="shared" ca="1" si="1"/>
        <v>49652</v>
      </c>
      <c r="J14" s="14">
        <f t="shared" ca="1" si="1"/>
        <v>50017</v>
      </c>
      <c r="K14" s="14">
        <f t="shared" ref="K14:S14" ca="1" si="2">J14+365</f>
        <v>50382</v>
      </c>
      <c r="L14" s="14">
        <f t="shared" ca="1" si="2"/>
        <v>50747</v>
      </c>
      <c r="M14" s="14">
        <f t="shared" ca="1" si="2"/>
        <v>51112</v>
      </c>
      <c r="N14" s="14">
        <f t="shared" ca="1" si="2"/>
        <v>51477</v>
      </c>
      <c r="O14" s="14">
        <f t="shared" ca="1" si="2"/>
        <v>51842</v>
      </c>
      <c r="P14" s="14">
        <f t="shared" ca="1" si="2"/>
        <v>52207</v>
      </c>
      <c r="Q14" s="14">
        <f t="shared" ca="1" si="2"/>
        <v>52572</v>
      </c>
      <c r="R14" s="14">
        <f t="shared" ca="1" si="2"/>
        <v>52937</v>
      </c>
      <c r="S14" s="14">
        <f t="shared" ca="1" si="2"/>
        <v>53302</v>
      </c>
      <c r="T14" s="14">
        <f t="shared" ref="T14:AW14" ca="1" si="3">S14+365</f>
        <v>53667</v>
      </c>
      <c r="U14" s="14">
        <f t="shared" ca="1" si="3"/>
        <v>54032</v>
      </c>
      <c r="V14" s="14">
        <f t="shared" ca="1" si="3"/>
        <v>54397</v>
      </c>
      <c r="W14" s="14">
        <f t="shared" ca="1" si="3"/>
        <v>54762</v>
      </c>
      <c r="X14" s="14">
        <f t="shared" ca="1" si="3"/>
        <v>55127</v>
      </c>
      <c r="Y14" s="14">
        <f t="shared" ca="1" si="3"/>
        <v>55492</v>
      </c>
      <c r="Z14" s="14">
        <f t="shared" ca="1" si="3"/>
        <v>55857</v>
      </c>
      <c r="AA14" s="14">
        <f t="shared" ca="1" si="3"/>
        <v>56222</v>
      </c>
      <c r="AB14" s="14">
        <f t="shared" ca="1" si="3"/>
        <v>56587</v>
      </c>
      <c r="AC14" s="14">
        <f t="shared" ca="1" si="3"/>
        <v>56952</v>
      </c>
      <c r="AD14" s="14">
        <f t="shared" ca="1" si="3"/>
        <v>57317</v>
      </c>
      <c r="AE14" s="14">
        <f t="shared" ca="1" si="3"/>
        <v>57682</v>
      </c>
      <c r="AF14" s="14">
        <f t="shared" ca="1" si="3"/>
        <v>58047</v>
      </c>
      <c r="AG14" s="14">
        <f t="shared" ca="1" si="3"/>
        <v>58412</v>
      </c>
      <c r="AH14" s="14">
        <f t="shared" ca="1" si="3"/>
        <v>58777</v>
      </c>
      <c r="AI14" s="14">
        <f t="shared" ca="1" si="3"/>
        <v>59142</v>
      </c>
      <c r="AJ14" s="14">
        <f t="shared" ca="1" si="3"/>
        <v>59507</v>
      </c>
      <c r="AK14" s="14">
        <f t="shared" ca="1" si="3"/>
        <v>59872</v>
      </c>
      <c r="AL14" s="14">
        <f t="shared" ca="1" si="3"/>
        <v>60237</v>
      </c>
      <c r="AM14" s="14">
        <f t="shared" ca="1" si="3"/>
        <v>60602</v>
      </c>
      <c r="AN14" s="14">
        <f t="shared" ca="1" si="3"/>
        <v>60967</v>
      </c>
      <c r="AO14" s="14">
        <f t="shared" ca="1" si="3"/>
        <v>61332</v>
      </c>
      <c r="AP14" s="14">
        <f t="shared" ca="1" si="3"/>
        <v>61697</v>
      </c>
      <c r="AQ14" s="14">
        <f t="shared" ca="1" si="3"/>
        <v>62062</v>
      </c>
      <c r="AR14" s="14">
        <f t="shared" ca="1" si="3"/>
        <v>62427</v>
      </c>
      <c r="AS14" s="14">
        <f t="shared" ca="1" si="3"/>
        <v>62792</v>
      </c>
      <c r="AT14" s="14">
        <f t="shared" ca="1" si="3"/>
        <v>63157</v>
      </c>
      <c r="AU14" s="14">
        <f t="shared" ca="1" si="3"/>
        <v>63522</v>
      </c>
      <c r="AV14" s="14">
        <f t="shared" ca="1" si="3"/>
        <v>63887</v>
      </c>
      <c r="AW14" s="14">
        <f t="shared" ca="1" si="3"/>
        <v>64252</v>
      </c>
      <c r="AX14" s="14"/>
      <c r="AY14" s="14"/>
      <c r="AZ14" s="14"/>
      <c r="BA14" s="14"/>
      <c r="BB14" s="14"/>
      <c r="BC14" s="14"/>
      <c r="BD14" s="14"/>
      <c r="BE14" s="14"/>
      <c r="BF14" s="14"/>
    </row>
    <row r="15" spans="1:58" s="15" customFormat="1" x14ac:dyDescent="0.25">
      <c r="A15" s="22"/>
      <c r="B15" s="18" t="s">
        <v>17</v>
      </c>
      <c r="D15" s="15">
        <f>C4</f>
        <v>10557</v>
      </c>
      <c r="E15" s="15">
        <f>D15*(1+$C5)</f>
        <v>10557</v>
      </c>
      <c r="F15" s="15">
        <f t="shared" ref="F15:S15" si="4">E15*(1+$C5)</f>
        <v>10557</v>
      </c>
      <c r="G15" s="15">
        <f t="shared" si="4"/>
        <v>10557</v>
      </c>
      <c r="H15" s="15">
        <f t="shared" si="4"/>
        <v>10557</v>
      </c>
      <c r="I15" s="15">
        <f t="shared" si="4"/>
        <v>10557</v>
      </c>
      <c r="J15" s="15">
        <f t="shared" si="4"/>
        <v>10557</v>
      </c>
      <c r="K15" s="15">
        <f t="shared" si="4"/>
        <v>10557</v>
      </c>
      <c r="L15" s="15">
        <f t="shared" si="4"/>
        <v>10557</v>
      </c>
      <c r="M15" s="15">
        <f t="shared" si="4"/>
        <v>10557</v>
      </c>
      <c r="N15" s="15">
        <f t="shared" si="4"/>
        <v>10557</v>
      </c>
      <c r="O15" s="15">
        <f t="shared" si="4"/>
        <v>10557</v>
      </c>
      <c r="P15" s="15">
        <f t="shared" si="4"/>
        <v>10557</v>
      </c>
      <c r="Q15" s="15">
        <f t="shared" si="4"/>
        <v>10557</v>
      </c>
      <c r="R15" s="15">
        <f t="shared" si="4"/>
        <v>10557</v>
      </c>
      <c r="S15" s="15">
        <f t="shared" si="4"/>
        <v>10557</v>
      </c>
      <c r="T15" s="15">
        <f t="shared" ref="T15:AW15" si="5">S15*(1+$C5)</f>
        <v>10557</v>
      </c>
      <c r="U15" s="15">
        <f t="shared" si="5"/>
        <v>10557</v>
      </c>
      <c r="V15" s="15">
        <f t="shared" si="5"/>
        <v>10557</v>
      </c>
      <c r="W15" s="15">
        <f t="shared" si="5"/>
        <v>10557</v>
      </c>
      <c r="X15" s="15">
        <f t="shared" si="5"/>
        <v>10557</v>
      </c>
      <c r="Y15" s="15">
        <f t="shared" si="5"/>
        <v>10557</v>
      </c>
      <c r="Z15" s="15">
        <f t="shared" si="5"/>
        <v>10557</v>
      </c>
      <c r="AA15" s="15">
        <f t="shared" si="5"/>
        <v>10557</v>
      </c>
      <c r="AB15" s="15">
        <f t="shared" si="5"/>
        <v>10557</v>
      </c>
      <c r="AC15" s="15">
        <f t="shared" si="5"/>
        <v>10557</v>
      </c>
      <c r="AD15" s="15">
        <f t="shared" si="5"/>
        <v>10557</v>
      </c>
      <c r="AE15" s="15">
        <f t="shared" si="5"/>
        <v>10557</v>
      </c>
      <c r="AF15" s="15">
        <f t="shared" si="5"/>
        <v>10557</v>
      </c>
      <c r="AG15" s="15">
        <f t="shared" si="5"/>
        <v>10557</v>
      </c>
      <c r="AH15" s="15">
        <f t="shared" si="5"/>
        <v>10557</v>
      </c>
      <c r="AI15" s="15">
        <f t="shared" si="5"/>
        <v>10557</v>
      </c>
      <c r="AJ15" s="15">
        <f t="shared" si="5"/>
        <v>10557</v>
      </c>
      <c r="AK15" s="15">
        <f t="shared" si="5"/>
        <v>10557</v>
      </c>
      <c r="AL15" s="15">
        <f t="shared" si="5"/>
        <v>10557</v>
      </c>
      <c r="AM15" s="15">
        <f t="shared" si="5"/>
        <v>10557</v>
      </c>
      <c r="AN15" s="15">
        <f t="shared" si="5"/>
        <v>10557</v>
      </c>
      <c r="AO15" s="15">
        <f t="shared" si="5"/>
        <v>10557</v>
      </c>
      <c r="AP15" s="15">
        <f t="shared" si="5"/>
        <v>10557</v>
      </c>
      <c r="AQ15" s="15">
        <f t="shared" si="5"/>
        <v>10557</v>
      </c>
      <c r="AR15" s="15">
        <f t="shared" si="5"/>
        <v>10557</v>
      </c>
      <c r="AS15" s="15">
        <f t="shared" si="5"/>
        <v>10557</v>
      </c>
      <c r="AT15" s="15">
        <f t="shared" si="5"/>
        <v>10557</v>
      </c>
      <c r="AU15" s="15">
        <f t="shared" si="5"/>
        <v>10557</v>
      </c>
      <c r="AV15" s="15">
        <f t="shared" si="5"/>
        <v>10557</v>
      </c>
      <c r="AW15" s="15">
        <f t="shared" si="5"/>
        <v>10557</v>
      </c>
    </row>
    <row r="17" spans="2:6" x14ac:dyDescent="0.25">
      <c r="B17" s="119" t="s">
        <v>15</v>
      </c>
      <c r="C17" s="120"/>
      <c r="D17" s="120"/>
      <c r="E17" s="120"/>
      <c r="F17" s="120"/>
    </row>
    <row r="21" spans="2:6" x14ac:dyDescent="0.25">
      <c r="C21" s="12"/>
    </row>
  </sheetData>
  <mergeCells count="1">
    <mergeCell ref="B17:F17"/>
  </mergeCells>
  <phoneticPr fontId="9" type="noConversion"/>
  <hyperlinks>
    <hyperlink ref="B17" r:id="rId1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C10"/>
  <sheetViews>
    <sheetView showGridLines="0" workbookViewId="0">
      <selection activeCell="C5" sqref="C5"/>
    </sheetView>
  </sheetViews>
  <sheetFormatPr defaultRowHeight="15" x14ac:dyDescent="0.25"/>
  <cols>
    <col min="1" max="1" width="2.7109375" customWidth="1"/>
    <col min="2" max="2" width="23.5703125" customWidth="1"/>
    <col min="3" max="3" width="25.140625" customWidth="1"/>
  </cols>
  <sheetData>
    <row r="1" spans="2:3" ht="12" customHeight="1" thickBot="1" x14ac:dyDescent="0.3"/>
    <row r="2" spans="2:3" x14ac:dyDescent="0.25">
      <c r="B2" s="33" t="s">
        <v>78</v>
      </c>
      <c r="C2" s="58">
        <f>'Scenario &amp; assumptions'!D4</f>
        <v>879.75</v>
      </c>
    </row>
    <row r="3" spans="2:3" x14ac:dyDescent="0.25">
      <c r="B3" s="34" t="s">
        <v>79</v>
      </c>
      <c r="C3" s="66">
        <f>C2*12</f>
        <v>10557</v>
      </c>
    </row>
    <row r="4" spans="2:3" ht="30" x14ac:dyDescent="0.25">
      <c r="B4" s="34" t="s">
        <v>100</v>
      </c>
      <c r="C4" s="60">
        <f>'Scenario &amp; assumptions'!D12</f>
        <v>3.6499999999999998E-2</v>
      </c>
    </row>
    <row r="5" spans="2:3" ht="30.75" thickBot="1" x14ac:dyDescent="0.3">
      <c r="B5" s="35" t="s">
        <v>80</v>
      </c>
      <c r="C5" s="65">
        <f>'Scenario &amp; assumptions'!D13</f>
        <v>0.68</v>
      </c>
    </row>
    <row r="6" spans="2:3" x14ac:dyDescent="0.25">
      <c r="B6" s="31"/>
      <c r="C6" s="32"/>
    </row>
    <row r="7" spans="2:3" ht="18.75" x14ac:dyDescent="0.3">
      <c r="B7" s="36" t="s">
        <v>81</v>
      </c>
      <c r="C7" s="29">
        <f>C3/C4*C5</f>
        <v>196678.35616438361</v>
      </c>
    </row>
    <row r="10" spans="2:3" x14ac:dyDescent="0.25">
      <c r="B10" s="88" t="s">
        <v>121</v>
      </c>
    </row>
  </sheetData>
  <phoneticPr fontId="9" type="noConversion"/>
  <hyperlinks>
    <hyperlink ref="B10" r:id="rId1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G55"/>
  <sheetViews>
    <sheetView showGridLines="0" workbookViewId="0">
      <selection activeCell="G7" sqref="G7"/>
    </sheetView>
  </sheetViews>
  <sheetFormatPr defaultRowHeight="15" x14ac:dyDescent="0.25"/>
  <cols>
    <col min="1" max="1" width="1.28515625" customWidth="1"/>
    <col min="2" max="2" width="3" hidden="1" customWidth="1"/>
    <col min="3" max="3" width="4.42578125" style="1" bestFit="1" customWidth="1"/>
    <col min="4" max="4" width="16" style="2" customWidth="1"/>
    <col min="5" max="5" width="3.7109375" customWidth="1"/>
    <col min="6" max="6" width="33.5703125" customWidth="1"/>
    <col min="7" max="7" width="12.42578125" bestFit="1" customWidth="1"/>
    <col min="8" max="8" width="15.5703125" bestFit="1" customWidth="1"/>
    <col min="9" max="9" width="11.140625" bestFit="1" customWidth="1"/>
    <col min="10" max="10" width="11.5703125" bestFit="1" customWidth="1"/>
  </cols>
  <sheetData>
    <row r="1" spans="2:7" ht="6" customHeight="1" thickBot="1" x14ac:dyDescent="0.3"/>
    <row r="2" spans="2:7" x14ac:dyDescent="0.25">
      <c r="C2" s="3" t="s">
        <v>2</v>
      </c>
      <c r="D2" s="6" t="s">
        <v>85</v>
      </c>
      <c r="F2" s="121" t="s">
        <v>3</v>
      </c>
      <c r="G2" s="122"/>
    </row>
    <row r="3" spans="2:7" x14ac:dyDescent="0.25">
      <c r="B3">
        <v>0</v>
      </c>
      <c r="C3" s="3">
        <f>G6</f>
        <v>56</v>
      </c>
      <c r="D3" s="6">
        <f>G9</f>
        <v>149738.70065486469</v>
      </c>
      <c r="F3" s="4" t="s">
        <v>4</v>
      </c>
      <c r="G3" s="67">
        <f>'Scenario &amp; assumptions'!D11</f>
        <v>6.5000000000000002E-2</v>
      </c>
    </row>
    <row r="4" spans="2:7" x14ac:dyDescent="0.25">
      <c r="B4">
        <v>1</v>
      </c>
      <c r="C4" s="3">
        <f>IF((C$3+B4)&lt;=G$7,C3+1,"")</f>
        <v>57</v>
      </c>
      <c r="D4" s="6">
        <f>IF(C4="","",D3*G$3+D3)</f>
        <v>159471.71619743088</v>
      </c>
      <c r="F4" s="4" t="s">
        <v>0</v>
      </c>
      <c r="G4" s="68">
        <f>'Scenario &amp; assumptions'!D4</f>
        <v>879.75</v>
      </c>
    </row>
    <row r="5" spans="2:7" ht="30" x14ac:dyDescent="0.25">
      <c r="B5">
        <v>2</v>
      </c>
      <c r="C5" s="3">
        <f t="shared" ref="C5:C55" si="0">IF((C$3+B5)&lt;=G$7,C4+1,"")</f>
        <v>58</v>
      </c>
      <c r="D5" s="6">
        <f t="shared" ref="D5:D55" si="1">IF(C5="","",D4*G$3+D4)</f>
        <v>169837.3777502639</v>
      </c>
      <c r="F5" s="34" t="s">
        <v>115</v>
      </c>
      <c r="G5" s="68">
        <f>G4*12*25</f>
        <v>263925</v>
      </c>
    </row>
    <row r="6" spans="2:7" x14ac:dyDescent="0.25">
      <c r="B6">
        <v>3</v>
      </c>
      <c r="C6" s="3">
        <f t="shared" si="0"/>
        <v>59</v>
      </c>
      <c r="D6" s="6">
        <f t="shared" si="1"/>
        <v>180876.80730403104</v>
      </c>
      <c r="F6" s="23" t="s">
        <v>1</v>
      </c>
      <c r="G6" s="69">
        <f>'Scenario &amp; assumptions'!D8</f>
        <v>56</v>
      </c>
    </row>
    <row r="7" spans="2:7" ht="15.75" thickBot="1" x14ac:dyDescent="0.3">
      <c r="B7">
        <v>4</v>
      </c>
      <c r="C7" s="3">
        <f t="shared" si="0"/>
        <v>60</v>
      </c>
      <c r="D7" s="6">
        <f t="shared" si="1"/>
        <v>192633.79977879307</v>
      </c>
      <c r="F7" s="5" t="s">
        <v>86</v>
      </c>
      <c r="G7" s="70">
        <f>'Scenario &amp; assumptions'!D9</f>
        <v>65</v>
      </c>
    </row>
    <row r="8" spans="2:7" ht="15.75" thickBot="1" x14ac:dyDescent="0.3">
      <c r="B8">
        <v>5</v>
      </c>
      <c r="C8" s="3">
        <f t="shared" si="0"/>
        <v>61</v>
      </c>
      <c r="D8" s="6">
        <f t="shared" si="1"/>
        <v>205154.99676441462</v>
      </c>
    </row>
    <row r="9" spans="2:7" ht="32.25" thickBot="1" x14ac:dyDescent="0.3">
      <c r="B9">
        <v>6</v>
      </c>
      <c r="C9" s="3">
        <f t="shared" si="0"/>
        <v>62</v>
      </c>
      <c r="D9" s="6">
        <f t="shared" si="1"/>
        <v>218490.07155410157</v>
      </c>
      <c r="F9" s="83" t="s">
        <v>116</v>
      </c>
      <c r="G9" s="7">
        <f>G5/(1+G3)^(G7-G6)</f>
        <v>149738.70065486469</v>
      </c>
    </row>
    <row r="10" spans="2:7" x14ac:dyDescent="0.25">
      <c r="B10">
        <v>7</v>
      </c>
      <c r="C10" s="3">
        <f t="shared" si="0"/>
        <v>63</v>
      </c>
      <c r="D10" s="6">
        <f t="shared" si="1"/>
        <v>232691.92620511816</v>
      </c>
    </row>
    <row r="11" spans="2:7" x14ac:dyDescent="0.25">
      <c r="B11">
        <v>8</v>
      </c>
      <c r="C11" s="3">
        <f t="shared" si="0"/>
        <v>64</v>
      </c>
      <c r="D11" s="6">
        <f t="shared" si="1"/>
        <v>247816.90140845085</v>
      </c>
    </row>
    <row r="12" spans="2:7" x14ac:dyDescent="0.25">
      <c r="B12">
        <v>9</v>
      </c>
      <c r="C12" s="3">
        <f t="shared" si="0"/>
        <v>65</v>
      </c>
      <c r="D12" s="6">
        <f t="shared" si="1"/>
        <v>263925.00000000017</v>
      </c>
    </row>
    <row r="13" spans="2:7" x14ac:dyDescent="0.25">
      <c r="B13">
        <v>10</v>
      </c>
      <c r="C13" s="3" t="str">
        <f t="shared" si="0"/>
        <v/>
      </c>
      <c r="D13" s="6" t="str">
        <f t="shared" si="1"/>
        <v/>
      </c>
    </row>
    <row r="14" spans="2:7" x14ac:dyDescent="0.25">
      <c r="B14">
        <v>11</v>
      </c>
      <c r="C14" s="3" t="str">
        <f t="shared" si="0"/>
        <v/>
      </c>
      <c r="D14" s="6" t="str">
        <f t="shared" si="1"/>
        <v/>
      </c>
    </row>
    <row r="15" spans="2:7" x14ac:dyDescent="0.25">
      <c r="B15">
        <v>12</v>
      </c>
      <c r="C15" s="3" t="str">
        <f t="shared" si="0"/>
        <v/>
      </c>
      <c r="D15" s="6" t="str">
        <f t="shared" si="1"/>
        <v/>
      </c>
    </row>
    <row r="16" spans="2:7" x14ac:dyDescent="0.25">
      <c r="B16">
        <v>13</v>
      </c>
      <c r="C16" s="3" t="str">
        <f t="shared" si="0"/>
        <v/>
      </c>
      <c r="D16" s="6" t="str">
        <f t="shared" si="1"/>
        <v/>
      </c>
    </row>
    <row r="17" spans="2:4" x14ac:dyDescent="0.25">
      <c r="B17">
        <v>14</v>
      </c>
      <c r="C17" s="3" t="str">
        <f t="shared" si="0"/>
        <v/>
      </c>
      <c r="D17" s="6" t="str">
        <f t="shared" si="1"/>
        <v/>
      </c>
    </row>
    <row r="18" spans="2:4" x14ac:dyDescent="0.25">
      <c r="B18">
        <v>15</v>
      </c>
      <c r="C18" s="3" t="str">
        <f t="shared" si="0"/>
        <v/>
      </c>
      <c r="D18" s="6" t="str">
        <f t="shared" si="1"/>
        <v/>
      </c>
    </row>
    <row r="19" spans="2:4" x14ac:dyDescent="0.25">
      <c r="B19">
        <v>16</v>
      </c>
      <c r="C19" s="3" t="str">
        <f t="shared" si="0"/>
        <v/>
      </c>
      <c r="D19" s="6" t="str">
        <f t="shared" si="1"/>
        <v/>
      </c>
    </row>
    <row r="20" spans="2:4" x14ac:dyDescent="0.25">
      <c r="B20">
        <v>17</v>
      </c>
      <c r="C20" s="3" t="str">
        <f t="shared" si="0"/>
        <v/>
      </c>
      <c r="D20" s="6" t="str">
        <f t="shared" si="1"/>
        <v/>
      </c>
    </row>
    <row r="21" spans="2:4" x14ac:dyDescent="0.25">
      <c r="B21">
        <v>18</v>
      </c>
      <c r="C21" s="3" t="str">
        <f t="shared" si="0"/>
        <v/>
      </c>
      <c r="D21" s="6" t="str">
        <f t="shared" si="1"/>
        <v/>
      </c>
    </row>
    <row r="22" spans="2:4" x14ac:dyDescent="0.25">
      <c r="B22">
        <v>19</v>
      </c>
      <c r="C22" s="3" t="str">
        <f t="shared" si="0"/>
        <v/>
      </c>
      <c r="D22" s="6" t="str">
        <f t="shared" si="1"/>
        <v/>
      </c>
    </row>
    <row r="23" spans="2:4" x14ac:dyDescent="0.25">
      <c r="B23">
        <v>20</v>
      </c>
      <c r="C23" s="3" t="str">
        <f t="shared" si="0"/>
        <v/>
      </c>
      <c r="D23" s="6" t="str">
        <f t="shared" si="1"/>
        <v/>
      </c>
    </row>
    <row r="24" spans="2:4" x14ac:dyDescent="0.25">
      <c r="B24">
        <v>21</v>
      </c>
      <c r="C24" s="3" t="str">
        <f t="shared" si="0"/>
        <v/>
      </c>
      <c r="D24" s="6" t="str">
        <f t="shared" si="1"/>
        <v/>
      </c>
    </row>
    <row r="25" spans="2:4" x14ac:dyDescent="0.25">
      <c r="B25">
        <v>22</v>
      </c>
      <c r="C25" s="3" t="str">
        <f t="shared" si="0"/>
        <v/>
      </c>
      <c r="D25" s="6" t="str">
        <f t="shared" si="1"/>
        <v/>
      </c>
    </row>
    <row r="26" spans="2:4" x14ac:dyDescent="0.25">
      <c r="B26">
        <v>23</v>
      </c>
      <c r="C26" s="3" t="str">
        <f t="shared" si="0"/>
        <v/>
      </c>
      <c r="D26" s="6" t="str">
        <f t="shared" si="1"/>
        <v/>
      </c>
    </row>
    <row r="27" spans="2:4" x14ac:dyDescent="0.25">
      <c r="B27">
        <v>24</v>
      </c>
      <c r="C27" s="3" t="str">
        <f t="shared" si="0"/>
        <v/>
      </c>
      <c r="D27" s="6" t="str">
        <f t="shared" si="1"/>
        <v/>
      </c>
    </row>
    <row r="28" spans="2:4" x14ac:dyDescent="0.25">
      <c r="B28">
        <v>25</v>
      </c>
      <c r="C28" s="3" t="str">
        <f t="shared" si="0"/>
        <v/>
      </c>
      <c r="D28" s="6" t="str">
        <f t="shared" si="1"/>
        <v/>
      </c>
    </row>
    <row r="29" spans="2:4" x14ac:dyDescent="0.25">
      <c r="B29">
        <v>26</v>
      </c>
      <c r="C29" s="3" t="str">
        <f t="shared" si="0"/>
        <v/>
      </c>
      <c r="D29" s="6" t="str">
        <f t="shared" si="1"/>
        <v/>
      </c>
    </row>
    <row r="30" spans="2:4" x14ac:dyDescent="0.25">
      <c r="B30">
        <v>27</v>
      </c>
      <c r="C30" s="3" t="str">
        <f t="shared" si="0"/>
        <v/>
      </c>
      <c r="D30" s="6" t="str">
        <f t="shared" si="1"/>
        <v/>
      </c>
    </row>
    <row r="31" spans="2:4" x14ac:dyDescent="0.25">
      <c r="B31">
        <v>28</v>
      </c>
      <c r="C31" s="3" t="str">
        <f t="shared" si="0"/>
        <v/>
      </c>
      <c r="D31" s="6" t="str">
        <f t="shared" si="1"/>
        <v/>
      </c>
    </row>
    <row r="32" spans="2:4" x14ac:dyDescent="0.25">
      <c r="B32">
        <v>29</v>
      </c>
      <c r="C32" s="3" t="str">
        <f t="shared" si="0"/>
        <v/>
      </c>
      <c r="D32" s="6" t="str">
        <f t="shared" si="1"/>
        <v/>
      </c>
    </row>
    <row r="33" spans="2:7" x14ac:dyDescent="0.25">
      <c r="B33">
        <v>30</v>
      </c>
      <c r="C33" s="3" t="str">
        <f t="shared" si="0"/>
        <v/>
      </c>
      <c r="D33" s="6" t="str">
        <f t="shared" si="1"/>
        <v/>
      </c>
    </row>
    <row r="34" spans="2:7" x14ac:dyDescent="0.25">
      <c r="B34">
        <v>31</v>
      </c>
      <c r="C34" s="3" t="str">
        <f t="shared" si="0"/>
        <v/>
      </c>
      <c r="D34" s="6" t="str">
        <f t="shared" si="1"/>
        <v/>
      </c>
    </row>
    <row r="35" spans="2:7" x14ac:dyDescent="0.25">
      <c r="B35">
        <v>32</v>
      </c>
      <c r="C35" s="3" t="str">
        <f t="shared" si="0"/>
        <v/>
      </c>
      <c r="D35" s="6" t="str">
        <f t="shared" si="1"/>
        <v/>
      </c>
    </row>
    <row r="36" spans="2:7" x14ac:dyDescent="0.25">
      <c r="B36">
        <v>33</v>
      </c>
      <c r="C36" s="3" t="str">
        <f t="shared" si="0"/>
        <v/>
      </c>
      <c r="D36" s="6" t="str">
        <f t="shared" si="1"/>
        <v/>
      </c>
    </row>
    <row r="37" spans="2:7" x14ac:dyDescent="0.25">
      <c r="B37">
        <v>34</v>
      </c>
      <c r="C37" s="3" t="str">
        <f t="shared" si="0"/>
        <v/>
      </c>
      <c r="D37" s="6" t="str">
        <f t="shared" si="1"/>
        <v/>
      </c>
    </row>
    <row r="38" spans="2:7" x14ac:dyDescent="0.25">
      <c r="B38">
        <v>35</v>
      </c>
      <c r="C38" s="3" t="str">
        <f t="shared" si="0"/>
        <v/>
      </c>
      <c r="D38" s="6" t="str">
        <f t="shared" si="1"/>
        <v/>
      </c>
      <c r="F38" s="8"/>
      <c r="G38" s="8"/>
    </row>
    <row r="39" spans="2:7" x14ac:dyDescent="0.25">
      <c r="B39">
        <v>36</v>
      </c>
      <c r="C39" s="3" t="str">
        <f t="shared" si="0"/>
        <v/>
      </c>
      <c r="D39" s="6" t="str">
        <f t="shared" si="1"/>
        <v/>
      </c>
    </row>
    <row r="40" spans="2:7" x14ac:dyDescent="0.25">
      <c r="B40">
        <v>37</v>
      </c>
      <c r="C40" s="3" t="str">
        <f t="shared" si="0"/>
        <v/>
      </c>
      <c r="D40" s="6" t="str">
        <f t="shared" si="1"/>
        <v/>
      </c>
    </row>
    <row r="41" spans="2:7" x14ac:dyDescent="0.25">
      <c r="B41">
        <v>38</v>
      </c>
      <c r="C41" s="3" t="str">
        <f t="shared" si="0"/>
        <v/>
      </c>
      <c r="D41" s="6" t="str">
        <f t="shared" si="1"/>
        <v/>
      </c>
    </row>
    <row r="42" spans="2:7" x14ac:dyDescent="0.25">
      <c r="B42">
        <v>39</v>
      </c>
      <c r="C42" s="3" t="str">
        <f t="shared" si="0"/>
        <v/>
      </c>
      <c r="D42" s="6" t="str">
        <f t="shared" si="1"/>
        <v/>
      </c>
    </row>
    <row r="43" spans="2:7" x14ac:dyDescent="0.25">
      <c r="B43">
        <v>40</v>
      </c>
      <c r="C43" s="3" t="str">
        <f t="shared" si="0"/>
        <v/>
      </c>
      <c r="D43" s="6" t="str">
        <f t="shared" si="1"/>
        <v/>
      </c>
    </row>
    <row r="44" spans="2:7" x14ac:dyDescent="0.25">
      <c r="B44">
        <v>41</v>
      </c>
      <c r="C44" s="3" t="str">
        <f t="shared" si="0"/>
        <v/>
      </c>
      <c r="D44" s="6" t="str">
        <f t="shared" si="1"/>
        <v/>
      </c>
    </row>
    <row r="45" spans="2:7" x14ac:dyDescent="0.25">
      <c r="B45">
        <v>42</v>
      </c>
      <c r="C45" s="3" t="str">
        <f t="shared" si="0"/>
        <v/>
      </c>
      <c r="D45" s="6" t="str">
        <f t="shared" si="1"/>
        <v/>
      </c>
    </row>
    <row r="46" spans="2:7" x14ac:dyDescent="0.25">
      <c r="B46">
        <v>43</v>
      </c>
      <c r="C46" s="3" t="str">
        <f t="shared" si="0"/>
        <v/>
      </c>
      <c r="D46" s="6" t="str">
        <f t="shared" si="1"/>
        <v/>
      </c>
    </row>
    <row r="47" spans="2:7" x14ac:dyDescent="0.25">
      <c r="B47">
        <v>44</v>
      </c>
      <c r="C47" s="3" t="str">
        <f t="shared" si="0"/>
        <v/>
      </c>
      <c r="D47" s="6" t="str">
        <f t="shared" si="1"/>
        <v/>
      </c>
    </row>
    <row r="48" spans="2:7" x14ac:dyDescent="0.25">
      <c r="B48">
        <v>45</v>
      </c>
      <c r="C48" s="3" t="str">
        <f t="shared" si="0"/>
        <v/>
      </c>
      <c r="D48" s="6" t="str">
        <f t="shared" si="1"/>
        <v/>
      </c>
    </row>
    <row r="49" spans="2:4" x14ac:dyDescent="0.25">
      <c r="B49">
        <v>46</v>
      </c>
      <c r="C49" s="3" t="str">
        <f t="shared" si="0"/>
        <v/>
      </c>
      <c r="D49" s="6" t="str">
        <f t="shared" si="1"/>
        <v/>
      </c>
    </row>
    <row r="50" spans="2:4" x14ac:dyDescent="0.25">
      <c r="B50">
        <v>47</v>
      </c>
      <c r="C50" s="3" t="str">
        <f t="shared" si="0"/>
        <v/>
      </c>
      <c r="D50" s="6" t="str">
        <f t="shared" si="1"/>
        <v/>
      </c>
    </row>
    <row r="51" spans="2:4" x14ac:dyDescent="0.25">
      <c r="B51">
        <v>48</v>
      </c>
      <c r="C51" s="3" t="str">
        <f t="shared" si="0"/>
        <v/>
      </c>
      <c r="D51" s="6" t="str">
        <f t="shared" si="1"/>
        <v/>
      </c>
    </row>
    <row r="52" spans="2:4" x14ac:dyDescent="0.25">
      <c r="B52">
        <v>49</v>
      </c>
      <c r="C52" s="3" t="str">
        <f t="shared" si="0"/>
        <v/>
      </c>
      <c r="D52" s="6" t="str">
        <f t="shared" si="1"/>
        <v/>
      </c>
    </row>
    <row r="53" spans="2:4" x14ac:dyDescent="0.25">
      <c r="B53">
        <v>50</v>
      </c>
      <c r="C53" s="3" t="str">
        <f t="shared" si="0"/>
        <v/>
      </c>
      <c r="D53" s="6" t="str">
        <f t="shared" si="1"/>
        <v/>
      </c>
    </row>
    <row r="54" spans="2:4" x14ac:dyDescent="0.25">
      <c r="B54">
        <v>51</v>
      </c>
      <c r="C54" s="3" t="str">
        <f t="shared" si="0"/>
        <v/>
      </c>
      <c r="D54" s="6" t="str">
        <f t="shared" si="1"/>
        <v/>
      </c>
    </row>
    <row r="55" spans="2:4" x14ac:dyDescent="0.25">
      <c r="B55">
        <v>52</v>
      </c>
      <c r="C55" s="3" t="str">
        <f t="shared" si="0"/>
        <v/>
      </c>
      <c r="D55" s="6" t="str">
        <f t="shared" si="1"/>
        <v/>
      </c>
    </row>
  </sheetData>
  <mergeCells count="1">
    <mergeCell ref="F2:G2"/>
  </mergeCells>
  <phoneticPr fontId="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52"/>
  <sheetViews>
    <sheetView topLeftCell="A27" workbookViewId="0">
      <selection activeCell="C27" sqref="C1:E65536"/>
    </sheetView>
  </sheetViews>
  <sheetFormatPr defaultRowHeight="15" x14ac:dyDescent="0.25"/>
  <sheetData>
    <row r="1" spans="1:2" x14ac:dyDescent="0.25">
      <c r="A1">
        <v>1</v>
      </c>
      <c r="B1" t="s">
        <v>24</v>
      </c>
    </row>
    <row r="2" spans="1:2" x14ac:dyDescent="0.25">
      <c r="A2">
        <v>2</v>
      </c>
      <c r="B2" t="s">
        <v>25</v>
      </c>
    </row>
    <row r="3" spans="1:2" x14ac:dyDescent="0.25">
      <c r="A3">
        <v>3</v>
      </c>
      <c r="B3" t="s">
        <v>26</v>
      </c>
    </row>
    <row r="4" spans="1:2" x14ac:dyDescent="0.25">
      <c r="A4">
        <v>4</v>
      </c>
      <c r="B4" t="s">
        <v>27</v>
      </c>
    </row>
    <row r="5" spans="1:2" x14ac:dyDescent="0.25">
      <c r="A5">
        <v>5</v>
      </c>
      <c r="B5" t="s">
        <v>28</v>
      </c>
    </row>
    <row r="6" spans="1:2" x14ac:dyDescent="0.25">
      <c r="A6">
        <v>6</v>
      </c>
      <c r="B6" t="s">
        <v>29</v>
      </c>
    </row>
    <row r="7" spans="1:2" x14ac:dyDescent="0.25">
      <c r="A7">
        <v>7</v>
      </c>
      <c r="B7" t="s">
        <v>30</v>
      </c>
    </row>
    <row r="8" spans="1:2" x14ac:dyDescent="0.25">
      <c r="A8">
        <v>8</v>
      </c>
      <c r="B8" t="s">
        <v>31</v>
      </c>
    </row>
    <row r="9" spans="1:2" x14ac:dyDescent="0.25">
      <c r="A9">
        <v>9</v>
      </c>
      <c r="B9" t="s">
        <v>32</v>
      </c>
    </row>
    <row r="10" spans="1:2" x14ac:dyDescent="0.25">
      <c r="A10">
        <v>10</v>
      </c>
      <c r="B10" t="s">
        <v>33</v>
      </c>
    </row>
    <row r="11" spans="1:2" x14ac:dyDescent="0.25">
      <c r="A11">
        <v>11</v>
      </c>
      <c r="B11" t="s">
        <v>34</v>
      </c>
    </row>
    <row r="12" spans="1:2" x14ac:dyDescent="0.25">
      <c r="A12">
        <v>12</v>
      </c>
      <c r="B12" t="s">
        <v>35</v>
      </c>
    </row>
    <row r="13" spans="1:2" x14ac:dyDescent="0.25">
      <c r="A13">
        <v>13</v>
      </c>
      <c r="B13" t="s">
        <v>36</v>
      </c>
    </row>
    <row r="14" spans="1:2" x14ac:dyDescent="0.25">
      <c r="A14">
        <v>14</v>
      </c>
      <c r="B14" t="s">
        <v>37</v>
      </c>
    </row>
    <row r="15" spans="1:2" x14ac:dyDescent="0.25">
      <c r="A15">
        <v>15</v>
      </c>
      <c r="B15" t="s">
        <v>38</v>
      </c>
    </row>
    <row r="16" spans="1:2" x14ac:dyDescent="0.25">
      <c r="A16">
        <v>16</v>
      </c>
      <c r="B16" t="s">
        <v>39</v>
      </c>
    </row>
    <row r="17" spans="1:2" x14ac:dyDescent="0.25">
      <c r="A17">
        <v>17</v>
      </c>
      <c r="B17" t="s">
        <v>40</v>
      </c>
    </row>
    <row r="18" spans="1:2" x14ac:dyDescent="0.25">
      <c r="A18">
        <v>18</v>
      </c>
      <c r="B18" t="s">
        <v>41</v>
      </c>
    </row>
    <row r="19" spans="1:2" x14ac:dyDescent="0.25">
      <c r="A19">
        <v>19</v>
      </c>
      <c r="B19" t="s">
        <v>42</v>
      </c>
    </row>
    <row r="20" spans="1:2" x14ac:dyDescent="0.25">
      <c r="A20">
        <v>20</v>
      </c>
      <c r="B20" t="s">
        <v>43</v>
      </c>
    </row>
    <row r="21" spans="1:2" x14ac:dyDescent="0.25">
      <c r="A21">
        <v>21</v>
      </c>
      <c r="B21" t="s">
        <v>44</v>
      </c>
    </row>
    <row r="22" spans="1:2" x14ac:dyDescent="0.25">
      <c r="A22">
        <v>22</v>
      </c>
      <c r="B22" t="s">
        <v>45</v>
      </c>
    </row>
    <row r="23" spans="1:2" x14ac:dyDescent="0.25">
      <c r="A23">
        <v>23</v>
      </c>
      <c r="B23" t="s">
        <v>46</v>
      </c>
    </row>
    <row r="24" spans="1:2" x14ac:dyDescent="0.25">
      <c r="A24">
        <v>24</v>
      </c>
      <c r="B24" t="s">
        <v>47</v>
      </c>
    </row>
    <row r="25" spans="1:2" x14ac:dyDescent="0.25">
      <c r="A25">
        <v>25</v>
      </c>
      <c r="B25" t="s">
        <v>48</v>
      </c>
    </row>
    <row r="26" spans="1:2" x14ac:dyDescent="0.25">
      <c r="A26">
        <v>26</v>
      </c>
      <c r="B26" t="s">
        <v>49</v>
      </c>
    </row>
    <row r="27" spans="1:2" x14ac:dyDescent="0.25">
      <c r="A27">
        <v>27</v>
      </c>
      <c r="B27" t="s">
        <v>50</v>
      </c>
    </row>
    <row r="28" spans="1:2" x14ac:dyDescent="0.25">
      <c r="A28">
        <v>28</v>
      </c>
      <c r="B28" t="s">
        <v>51</v>
      </c>
    </row>
    <row r="29" spans="1:2" x14ac:dyDescent="0.25">
      <c r="A29">
        <v>29</v>
      </c>
      <c r="B29" t="s">
        <v>52</v>
      </c>
    </row>
    <row r="30" spans="1:2" x14ac:dyDescent="0.25">
      <c r="A30">
        <v>30</v>
      </c>
      <c r="B30" t="s">
        <v>53</v>
      </c>
    </row>
    <row r="31" spans="1:2" x14ac:dyDescent="0.25">
      <c r="A31">
        <v>31</v>
      </c>
      <c r="B31" t="s">
        <v>54</v>
      </c>
    </row>
    <row r="32" spans="1:2" x14ac:dyDescent="0.25">
      <c r="A32">
        <v>32</v>
      </c>
      <c r="B32" t="s">
        <v>55</v>
      </c>
    </row>
    <row r="33" spans="1:2" x14ac:dyDescent="0.25">
      <c r="A33">
        <v>33</v>
      </c>
      <c r="B33" t="s">
        <v>56</v>
      </c>
    </row>
    <row r="34" spans="1:2" x14ac:dyDescent="0.25">
      <c r="A34">
        <v>34</v>
      </c>
      <c r="B34" t="s">
        <v>57</v>
      </c>
    </row>
    <row r="35" spans="1:2" x14ac:dyDescent="0.25">
      <c r="A35">
        <v>35</v>
      </c>
      <c r="B35" t="s">
        <v>58</v>
      </c>
    </row>
    <row r="36" spans="1:2" x14ac:dyDescent="0.25">
      <c r="A36">
        <v>36</v>
      </c>
      <c r="B36" t="s">
        <v>59</v>
      </c>
    </row>
    <row r="37" spans="1:2" x14ac:dyDescent="0.25">
      <c r="A37">
        <v>37</v>
      </c>
      <c r="B37" t="s">
        <v>60</v>
      </c>
    </row>
    <row r="38" spans="1:2" x14ac:dyDescent="0.25">
      <c r="A38">
        <v>38</v>
      </c>
      <c r="B38" t="s">
        <v>61</v>
      </c>
    </row>
    <row r="39" spans="1:2" x14ac:dyDescent="0.25">
      <c r="A39">
        <v>39</v>
      </c>
      <c r="B39" t="s">
        <v>62</v>
      </c>
    </row>
    <row r="40" spans="1:2" x14ac:dyDescent="0.25">
      <c r="A40">
        <v>40</v>
      </c>
      <c r="B40" t="s">
        <v>63</v>
      </c>
    </row>
    <row r="41" spans="1:2" x14ac:dyDescent="0.25">
      <c r="A41">
        <v>41</v>
      </c>
      <c r="B41" t="s">
        <v>64</v>
      </c>
    </row>
    <row r="42" spans="1:2" x14ac:dyDescent="0.25">
      <c r="A42">
        <v>42</v>
      </c>
      <c r="B42" t="s">
        <v>65</v>
      </c>
    </row>
    <row r="43" spans="1:2" x14ac:dyDescent="0.25">
      <c r="A43">
        <v>43</v>
      </c>
      <c r="B43" t="s">
        <v>66</v>
      </c>
    </row>
    <row r="44" spans="1:2" x14ac:dyDescent="0.25">
      <c r="A44">
        <v>44</v>
      </c>
      <c r="B44" t="s">
        <v>67</v>
      </c>
    </row>
    <row r="45" spans="1:2" x14ac:dyDescent="0.25">
      <c r="A45">
        <v>45</v>
      </c>
      <c r="B45" t="s">
        <v>68</v>
      </c>
    </row>
    <row r="46" spans="1:2" x14ac:dyDescent="0.25">
      <c r="A46">
        <v>46</v>
      </c>
      <c r="B46" t="s">
        <v>69</v>
      </c>
    </row>
    <row r="47" spans="1:2" x14ac:dyDescent="0.25">
      <c r="A47">
        <v>47</v>
      </c>
      <c r="B47" t="s">
        <v>70</v>
      </c>
    </row>
    <row r="48" spans="1:2" x14ac:dyDescent="0.25">
      <c r="A48">
        <v>48</v>
      </c>
      <c r="B48" t="s">
        <v>71</v>
      </c>
    </row>
    <row r="49" spans="1:2" x14ac:dyDescent="0.25">
      <c r="A49">
        <v>49</v>
      </c>
      <c r="B49" t="s">
        <v>72</v>
      </c>
    </row>
    <row r="50" spans="1:2" x14ac:dyDescent="0.25">
      <c r="A50">
        <v>50</v>
      </c>
      <c r="B50" t="s">
        <v>73</v>
      </c>
    </row>
    <row r="51" spans="1:2" x14ac:dyDescent="0.25">
      <c r="A51">
        <v>51</v>
      </c>
      <c r="B51" t="s">
        <v>74</v>
      </c>
    </row>
    <row r="52" spans="1:2" x14ac:dyDescent="0.25">
      <c r="A52">
        <v>52</v>
      </c>
      <c r="B52" t="s">
        <v>75</v>
      </c>
    </row>
  </sheetData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Scenario &amp; assumptions</vt:lpstr>
      <vt:lpstr>Grumpus Maximus</vt:lpstr>
      <vt:lpstr>Net Present Value</vt:lpstr>
      <vt:lpstr>ActuaryFire</vt:lpstr>
      <vt:lpstr>Financial Samurai</vt:lpstr>
      <vt:lpstr>4% Rule vs Pension Buyout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2017-11-16T16:12:18Z</dcterms:created>
  <dcterms:modified xsi:type="dcterms:W3CDTF">2021-12-12T05:23:36Z</dcterms:modified>
</cp:coreProperties>
</file>